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/>
  <mc:AlternateContent xmlns:mc="http://schemas.openxmlformats.org/markup-compatibility/2006">
    <mc:Choice Requires="x15">
      <x15ac:absPath xmlns:x15ac="http://schemas.microsoft.com/office/spreadsheetml/2010/11/ac" url="https://d.docs.live.net/cc49a6f129e4d962/เอกสาร/"/>
    </mc:Choice>
  </mc:AlternateContent>
  <xr:revisionPtr revIDLastSave="44" documentId="11_75849D377FC92B37D519F61EB75D4E204AAF8BDC" xr6:coauthVersionLast="47" xr6:coauthVersionMax="47" xr10:uidLastSave="{6D4F22DD-2ACC-477D-9176-AAEC5EF86934}"/>
  <bookViews>
    <workbookView xWindow="-110" yWindow="-110" windowWidth="19420" windowHeight="10300" xr2:uid="{00000000-000D-0000-FFFF-FFFF00000000}"/>
  </bookViews>
  <sheets>
    <sheet name="รวมตะวันออกเฉียงเหนือ" sheetId="1" r:id="rId1"/>
    <sheet name="กาฬสินธุ์" sheetId="2" r:id="rId2"/>
    <sheet name="ขอนแก่น" sheetId="3" r:id="rId3"/>
    <sheet name="ชัยภูมิ" sheetId="4" r:id="rId4"/>
    <sheet name="นครพนม" sheetId="5" r:id="rId5"/>
    <sheet name="นครราชสีมา" sheetId="6" r:id="rId6"/>
    <sheet name="บึงกาฬ" sheetId="7" r:id="rId7"/>
    <sheet name="บุรีรัมย์" sheetId="8" r:id="rId8"/>
    <sheet name="มหาสารคาม" sheetId="9" r:id="rId9"/>
    <sheet name="มุกดาหาร" sheetId="10" r:id="rId10"/>
    <sheet name="ยโสธร" sheetId="11" r:id="rId11"/>
    <sheet name="ร้อยเอ็ด" sheetId="12" r:id="rId12"/>
    <sheet name="เลย" sheetId="13" r:id="rId13"/>
    <sheet name="ศรีสะเกษ" sheetId="14" r:id="rId14"/>
    <sheet name="สกลนคร" sheetId="15" r:id="rId15"/>
    <sheet name="สุรินทร์" sheetId="16" r:id="rId16"/>
    <sheet name="หนองคาย" sheetId="17" r:id="rId17"/>
    <sheet name="หนองบัวลำภู" sheetId="18" r:id="rId18"/>
    <sheet name="อำนาจเจริญ" sheetId="19" r:id="rId19"/>
    <sheet name="อุดรธานี" sheetId="20" r:id="rId20"/>
    <sheet name="อุบลราชธานี" sheetId="21" r:id="rId21"/>
  </sheets>
  <definedNames>
    <definedName name="_xlnm.Print_Titles" localSheetId="12">เลย!$1:$6</definedName>
    <definedName name="_xlnm.Print_Titles" localSheetId="1">กาฬสินธุ์!$1:$6</definedName>
    <definedName name="_xlnm.Print_Titles" localSheetId="2">ขอนแก่น!$1:$6</definedName>
    <definedName name="_xlnm.Print_Titles" localSheetId="3">ชัยภูมิ!$1:$6</definedName>
    <definedName name="_xlnm.Print_Titles" localSheetId="4">นครพนม!$1:$6</definedName>
    <definedName name="_xlnm.Print_Titles" localSheetId="5">นครราชสีมา!$1:$6</definedName>
    <definedName name="_xlnm.Print_Titles" localSheetId="6">บึงกาฬ!$1:$6</definedName>
    <definedName name="_xlnm.Print_Titles" localSheetId="7">บุรีรัมย์!$1:$6</definedName>
    <definedName name="_xlnm.Print_Titles" localSheetId="8">มหาสารคาม!$1:$6</definedName>
    <definedName name="_xlnm.Print_Titles" localSheetId="9">มุกดาหาร!$1:$6</definedName>
    <definedName name="_xlnm.Print_Titles" localSheetId="10">ยโสธร!$1:$6</definedName>
    <definedName name="_xlnm.Print_Titles" localSheetId="0">รวมตะวันออกเฉียงเหนือ!$1:$6</definedName>
    <definedName name="_xlnm.Print_Titles" localSheetId="11">ร้อยเอ็ด!$1:$6</definedName>
    <definedName name="_xlnm.Print_Titles" localSheetId="13">ศรีสะเกษ!$1:$6</definedName>
    <definedName name="_xlnm.Print_Titles" localSheetId="14">สกลนคร!$1:$6</definedName>
    <definedName name="_xlnm.Print_Titles" localSheetId="15">สุรินทร์!$1:$6</definedName>
    <definedName name="_xlnm.Print_Titles" localSheetId="16">หนองคาย!$1:$6</definedName>
    <definedName name="_xlnm.Print_Titles" localSheetId="17">หนองบัวลำภู!$1:$6</definedName>
    <definedName name="_xlnm.Print_Titles" localSheetId="18">อำนาจเจริญ!$1:$6</definedName>
    <definedName name="_xlnm.Print_Titles" localSheetId="19">อุดรธานี!$1:$6</definedName>
    <definedName name="_xlnm.Print_Titles" localSheetId="20">อุบลราชธานี!$1:$6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635" i="21" l="1"/>
  <c r="I635" i="21"/>
  <c r="J634" i="21"/>
  <c r="I634" i="21"/>
  <c r="J633" i="21"/>
  <c r="I633" i="21"/>
  <c r="J632" i="21"/>
  <c r="I632" i="21"/>
  <c r="J631" i="21"/>
  <c r="I631" i="21"/>
  <c r="J630" i="21"/>
  <c r="I630" i="21"/>
  <c r="J629" i="21"/>
  <c r="I629" i="21"/>
  <c r="J628" i="21"/>
  <c r="I628" i="21"/>
  <c r="J626" i="21"/>
  <c r="I626" i="21"/>
  <c r="J625" i="21"/>
  <c r="I625" i="21"/>
  <c r="J624" i="21"/>
  <c r="I624" i="21"/>
  <c r="J623" i="21"/>
  <c r="I623" i="21"/>
  <c r="J622" i="21"/>
  <c r="I622" i="21"/>
  <c r="J621" i="21"/>
  <c r="I621" i="21"/>
  <c r="J620" i="21"/>
  <c r="I620" i="21"/>
  <c r="K622" i="21" s="1"/>
  <c r="J619" i="21"/>
  <c r="I619" i="21"/>
  <c r="J618" i="21"/>
  <c r="I618" i="21"/>
  <c r="J617" i="21"/>
  <c r="I617" i="21"/>
  <c r="J616" i="21"/>
  <c r="I616" i="21"/>
  <c r="J615" i="21"/>
  <c r="I615" i="21"/>
  <c r="J614" i="21"/>
  <c r="I614" i="21"/>
  <c r="J613" i="21"/>
  <c r="I613" i="21"/>
  <c r="J612" i="21"/>
  <c r="I612" i="21"/>
  <c r="J611" i="21"/>
  <c r="I611" i="21"/>
  <c r="J610" i="21"/>
  <c r="J609" i="21"/>
  <c r="J608" i="21"/>
  <c r="J607" i="21"/>
  <c r="N605" i="21"/>
  <c r="N604" i="21"/>
  <c r="N603" i="21"/>
  <c r="N602" i="21"/>
  <c r="N601" i="21"/>
  <c r="L601" i="21"/>
  <c r="N600" i="21"/>
  <c r="L600" i="21"/>
  <c r="O600" i="21" s="1"/>
  <c r="N599" i="21"/>
  <c r="L599" i="21"/>
  <c r="N598" i="21"/>
  <c r="L598" i="21"/>
  <c r="O598" i="21" s="1"/>
  <c r="N597" i="21"/>
  <c r="L597" i="21"/>
  <c r="J597" i="21"/>
  <c r="I597" i="21"/>
  <c r="J596" i="21"/>
  <c r="I596" i="21"/>
  <c r="K596" i="21" s="1"/>
  <c r="J595" i="21"/>
  <c r="I595" i="21"/>
  <c r="J594" i="21"/>
  <c r="I594" i="21"/>
  <c r="K594" i="21" s="1"/>
  <c r="J593" i="21"/>
  <c r="I593" i="21"/>
  <c r="J592" i="21"/>
  <c r="I592" i="21"/>
  <c r="K592" i="21" s="1"/>
  <c r="J591" i="21"/>
  <c r="I591" i="21"/>
  <c r="J590" i="21"/>
  <c r="I590" i="21"/>
  <c r="K590" i="21" s="1"/>
  <c r="J589" i="21"/>
  <c r="I589" i="21"/>
  <c r="N588" i="21"/>
  <c r="N587" i="21"/>
  <c r="N586" i="21"/>
  <c r="N585" i="21"/>
  <c r="N584" i="21"/>
  <c r="L584" i="21"/>
  <c r="N583" i="21"/>
  <c r="L583" i="21"/>
  <c r="O583" i="21" s="1"/>
  <c r="N582" i="21"/>
  <c r="L582" i="21"/>
  <c r="N581" i="21"/>
  <c r="L581" i="21"/>
  <c r="O581" i="21" s="1"/>
  <c r="N580" i="21"/>
  <c r="L580" i="21"/>
  <c r="J580" i="21"/>
  <c r="I580" i="21"/>
  <c r="J579" i="21"/>
  <c r="I579" i="21"/>
  <c r="K579" i="21" s="1"/>
  <c r="J578" i="21"/>
  <c r="I578" i="21"/>
  <c r="K578" i="21" s="1"/>
  <c r="J577" i="21"/>
  <c r="I577" i="21"/>
  <c r="K577" i="21" s="1"/>
  <c r="J576" i="21"/>
  <c r="I576" i="21"/>
  <c r="K576" i="21" s="1"/>
  <c r="J575" i="21"/>
  <c r="I575" i="21"/>
  <c r="K575" i="21" s="1"/>
  <c r="J573" i="21"/>
  <c r="I573" i="21"/>
  <c r="N572" i="21"/>
  <c r="N571" i="21"/>
  <c r="N570" i="21"/>
  <c r="N569" i="21"/>
  <c r="N568" i="21"/>
  <c r="L568" i="21"/>
  <c r="N567" i="21"/>
  <c r="L567" i="21"/>
  <c r="O567" i="21" s="1"/>
  <c r="N566" i="21"/>
  <c r="L566" i="21"/>
  <c r="N565" i="21"/>
  <c r="L565" i="21"/>
  <c r="O565" i="21" s="1"/>
  <c r="N564" i="21"/>
  <c r="L564" i="21"/>
  <c r="J564" i="21"/>
  <c r="I564" i="21"/>
  <c r="J561" i="21"/>
  <c r="I561" i="21"/>
  <c r="K561" i="21" s="1"/>
  <c r="J560" i="21"/>
  <c r="I560" i="21"/>
  <c r="N559" i="21"/>
  <c r="N558" i="21"/>
  <c r="N557" i="21"/>
  <c r="N556" i="21"/>
  <c r="N555" i="21"/>
  <c r="L555" i="21"/>
  <c r="N554" i="21"/>
  <c r="L554" i="21"/>
  <c r="O554" i="21" s="1"/>
  <c r="N553" i="21"/>
  <c r="L553" i="21"/>
  <c r="N552" i="21"/>
  <c r="L552" i="21"/>
  <c r="O552" i="21" s="1"/>
  <c r="N551" i="21"/>
  <c r="L551" i="21"/>
  <c r="J551" i="21"/>
  <c r="I551" i="21"/>
  <c r="J550" i="21"/>
  <c r="J549" i="21"/>
  <c r="J548" i="21"/>
  <c r="I548" i="21"/>
  <c r="K548" i="21" s="1"/>
  <c r="J547" i="21"/>
  <c r="I547" i="21"/>
  <c r="J546" i="21"/>
  <c r="J545" i="21"/>
  <c r="J544" i="21"/>
  <c r="J543" i="21"/>
  <c r="N541" i="21"/>
  <c r="N540" i="21"/>
  <c r="N539" i="21"/>
  <c r="N538" i="21"/>
  <c r="N537" i="21"/>
  <c r="L537" i="21"/>
  <c r="N536" i="21"/>
  <c r="L536" i="21"/>
  <c r="O536" i="21" s="1"/>
  <c r="N535" i="21"/>
  <c r="L535" i="21"/>
  <c r="N534" i="21"/>
  <c r="L534" i="21"/>
  <c r="N533" i="21"/>
  <c r="L533" i="21"/>
  <c r="J533" i="21"/>
  <c r="I533" i="21"/>
  <c r="J532" i="21"/>
  <c r="I532" i="21"/>
  <c r="J531" i="21"/>
  <c r="I531" i="21"/>
  <c r="J530" i="21"/>
  <c r="I530" i="21"/>
  <c r="J529" i="21"/>
  <c r="I529" i="21"/>
  <c r="J528" i="21"/>
  <c r="I528" i="21"/>
  <c r="J527" i="21"/>
  <c r="I527" i="21"/>
  <c r="J526" i="21"/>
  <c r="I526" i="21"/>
  <c r="J525" i="21"/>
  <c r="I525" i="21"/>
  <c r="J524" i="21"/>
  <c r="I524" i="21"/>
  <c r="J523" i="21"/>
  <c r="I523" i="21"/>
  <c r="J522" i="21"/>
  <c r="I522" i="21"/>
  <c r="J521" i="21"/>
  <c r="I521" i="21"/>
  <c r="J520" i="21"/>
  <c r="I520" i="21"/>
  <c r="J519" i="21"/>
  <c r="I519" i="21"/>
  <c r="J518" i="21"/>
  <c r="I518" i="21"/>
  <c r="J517" i="21"/>
  <c r="I517" i="21"/>
  <c r="J516" i="21"/>
  <c r="I516" i="21"/>
  <c r="J515" i="21"/>
  <c r="I515" i="21"/>
  <c r="K515" i="21" s="1"/>
  <c r="J514" i="21"/>
  <c r="I514" i="21"/>
  <c r="K514" i="21" s="1"/>
  <c r="J513" i="21"/>
  <c r="I513" i="21"/>
  <c r="K513" i="21" s="1"/>
  <c r="J512" i="21"/>
  <c r="I512" i="21"/>
  <c r="K512" i="21" s="1"/>
  <c r="J511" i="21"/>
  <c r="I511" i="21"/>
  <c r="K511" i="21" s="1"/>
  <c r="J510" i="21"/>
  <c r="I510" i="21"/>
  <c r="K510" i="21" s="1"/>
  <c r="J509" i="21"/>
  <c r="I509" i="21"/>
  <c r="K509" i="21" s="1"/>
  <c r="J508" i="21"/>
  <c r="I508" i="21"/>
  <c r="K508" i="21" s="1"/>
  <c r="J507" i="21"/>
  <c r="I507" i="21"/>
  <c r="K507" i="21" s="1"/>
  <c r="J506" i="21"/>
  <c r="I506" i="21"/>
  <c r="K506" i="21" s="1"/>
  <c r="J505" i="21"/>
  <c r="I505" i="21"/>
  <c r="K505" i="21" s="1"/>
  <c r="J504" i="21"/>
  <c r="I504" i="21"/>
  <c r="K504" i="21" s="1"/>
  <c r="J503" i="21"/>
  <c r="I503" i="21"/>
  <c r="K503" i="21" s="1"/>
  <c r="J502" i="21"/>
  <c r="I502" i="21"/>
  <c r="K502" i="21" s="1"/>
  <c r="J501" i="21"/>
  <c r="I501" i="21"/>
  <c r="K501" i="21" s="1"/>
  <c r="J500" i="21"/>
  <c r="I500" i="21"/>
  <c r="K500" i="21" s="1"/>
  <c r="J499" i="21"/>
  <c r="I499" i="21"/>
  <c r="J498" i="21"/>
  <c r="I498" i="21"/>
  <c r="J497" i="21"/>
  <c r="I497" i="21"/>
  <c r="J496" i="21"/>
  <c r="I496" i="21"/>
  <c r="K496" i="21" s="1"/>
  <c r="J495" i="21"/>
  <c r="I495" i="21"/>
  <c r="K495" i="21" s="1"/>
  <c r="J494" i="21"/>
  <c r="I494" i="21"/>
  <c r="K494" i="21" s="1"/>
  <c r="J493" i="21"/>
  <c r="I493" i="21"/>
  <c r="K493" i="21" s="1"/>
  <c r="J492" i="21"/>
  <c r="I492" i="21"/>
  <c r="K492" i="21" s="1"/>
  <c r="J491" i="21"/>
  <c r="I491" i="21"/>
  <c r="K491" i="21" s="1"/>
  <c r="J490" i="21"/>
  <c r="I490" i="21"/>
  <c r="K490" i="21" s="1"/>
  <c r="J489" i="21"/>
  <c r="I489" i="21"/>
  <c r="K489" i="21" s="1"/>
  <c r="J488" i="21"/>
  <c r="I488" i="21"/>
  <c r="K488" i="21" s="1"/>
  <c r="J487" i="21"/>
  <c r="I487" i="21"/>
  <c r="K487" i="21" s="1"/>
  <c r="J486" i="21"/>
  <c r="I486" i="21"/>
  <c r="K486" i="21" s="1"/>
  <c r="J485" i="21"/>
  <c r="I485" i="21"/>
  <c r="K485" i="21" s="1"/>
  <c r="J484" i="21"/>
  <c r="I484" i="21"/>
  <c r="K484" i="21" s="1"/>
  <c r="J483" i="21"/>
  <c r="I483" i="21"/>
  <c r="K483" i="21" s="1"/>
  <c r="J482" i="21"/>
  <c r="I482" i="21"/>
  <c r="J481" i="21"/>
  <c r="I481" i="21"/>
  <c r="J480" i="21"/>
  <c r="I480" i="21"/>
  <c r="K480" i="21" s="1"/>
  <c r="J479" i="21"/>
  <c r="I479" i="21"/>
  <c r="K479" i="21" s="1"/>
  <c r="J478" i="21"/>
  <c r="I478" i="21"/>
  <c r="K478" i="21" s="1"/>
  <c r="J477" i="21"/>
  <c r="I477" i="21"/>
  <c r="K477" i="21" s="1"/>
  <c r="J476" i="21"/>
  <c r="I476" i="21"/>
  <c r="K476" i="21" s="1"/>
  <c r="J475" i="21"/>
  <c r="I475" i="21"/>
  <c r="K475" i="21" s="1"/>
  <c r="J474" i="21"/>
  <c r="I474" i="21"/>
  <c r="J473" i="21"/>
  <c r="I473" i="21"/>
  <c r="J472" i="21"/>
  <c r="I472" i="21"/>
  <c r="K472" i="21" s="1"/>
  <c r="J471" i="21"/>
  <c r="I471" i="21"/>
  <c r="K471" i="21" s="1"/>
  <c r="J470" i="21"/>
  <c r="I470" i="21"/>
  <c r="K470" i="21" s="1"/>
  <c r="J469" i="21"/>
  <c r="I469" i="21"/>
  <c r="K469" i="21" s="1"/>
  <c r="J468" i="21"/>
  <c r="I468" i="21"/>
  <c r="K468" i="21" s="1"/>
  <c r="J467" i="21"/>
  <c r="I467" i="21"/>
  <c r="K467" i="21" s="1"/>
  <c r="J466" i="21"/>
  <c r="I466" i="21"/>
  <c r="J465" i="21"/>
  <c r="I465" i="21"/>
  <c r="J464" i="21"/>
  <c r="I464" i="21"/>
  <c r="N463" i="21"/>
  <c r="N462" i="21"/>
  <c r="N461" i="21"/>
  <c r="N460" i="21"/>
  <c r="N459" i="21"/>
  <c r="L459" i="21"/>
  <c r="N458" i="21"/>
  <c r="L458" i="21"/>
  <c r="O458" i="21" s="1"/>
  <c r="N457" i="21"/>
  <c r="L457" i="21"/>
  <c r="N456" i="21"/>
  <c r="L456" i="21"/>
  <c r="O456" i="21" s="1"/>
  <c r="N455" i="21"/>
  <c r="L455" i="21"/>
  <c r="J455" i="21"/>
  <c r="I455" i="21"/>
  <c r="J454" i="21"/>
  <c r="J453" i="21"/>
  <c r="J452" i="21"/>
  <c r="I452" i="21"/>
  <c r="K452" i="21" s="1"/>
  <c r="J451" i="21"/>
  <c r="I451" i="21"/>
  <c r="K451" i="21" s="1"/>
  <c r="J450" i="21"/>
  <c r="I450" i="21"/>
  <c r="J449" i="21"/>
  <c r="I449" i="21"/>
  <c r="J448" i="21"/>
  <c r="J447" i="21"/>
  <c r="J446" i="21"/>
  <c r="J445" i="21"/>
  <c r="N443" i="21"/>
  <c r="N442" i="21"/>
  <c r="N441" i="21"/>
  <c r="N440" i="21"/>
  <c r="N439" i="21"/>
  <c r="L439" i="21"/>
  <c r="N438" i="21"/>
  <c r="L438" i="21"/>
  <c r="N437" i="21"/>
  <c r="L437" i="21"/>
  <c r="N436" i="21"/>
  <c r="L436" i="21"/>
  <c r="O436" i="21" s="1"/>
  <c r="N435" i="21"/>
  <c r="L435" i="21"/>
  <c r="J435" i="21"/>
  <c r="I435" i="21"/>
  <c r="K435" i="21" s="1"/>
  <c r="J434" i="21"/>
  <c r="J433" i="21"/>
  <c r="J432" i="21"/>
  <c r="I432" i="21"/>
  <c r="J431" i="21"/>
  <c r="I431" i="21"/>
  <c r="J430" i="21"/>
  <c r="I430" i="21"/>
  <c r="J429" i="21"/>
  <c r="I429" i="21"/>
  <c r="J428" i="21"/>
  <c r="I428" i="21"/>
  <c r="J427" i="21"/>
  <c r="I427" i="21"/>
  <c r="J426" i="21"/>
  <c r="I426" i="21"/>
  <c r="J425" i="21"/>
  <c r="I425" i="21"/>
  <c r="J424" i="21"/>
  <c r="I424" i="21"/>
  <c r="J423" i="21"/>
  <c r="I423" i="21"/>
  <c r="J422" i="21"/>
  <c r="I422" i="21"/>
  <c r="J421" i="21"/>
  <c r="I421" i="21"/>
  <c r="J420" i="21"/>
  <c r="I420" i="21"/>
  <c r="J419" i="21"/>
  <c r="I419" i="21"/>
  <c r="J418" i="21"/>
  <c r="I418" i="21"/>
  <c r="J417" i="21"/>
  <c r="I417" i="21"/>
  <c r="J416" i="21"/>
  <c r="I416" i="21"/>
  <c r="J415" i="21"/>
  <c r="J414" i="21"/>
  <c r="J413" i="21"/>
  <c r="J412" i="21"/>
  <c r="N410" i="21"/>
  <c r="N409" i="21"/>
  <c r="N408" i="21"/>
  <c r="N407" i="21"/>
  <c r="N406" i="21"/>
  <c r="L406" i="21"/>
  <c r="N405" i="21"/>
  <c r="L405" i="21"/>
  <c r="O405" i="21" s="1"/>
  <c r="N404" i="21"/>
  <c r="L404" i="21"/>
  <c r="N403" i="21"/>
  <c r="L403" i="21"/>
  <c r="O403" i="21" s="1"/>
  <c r="J402" i="21"/>
  <c r="I402" i="21"/>
  <c r="N401" i="21"/>
  <c r="L401" i="21"/>
  <c r="J401" i="21"/>
  <c r="I401" i="21"/>
  <c r="J400" i="21"/>
  <c r="J399" i="21"/>
  <c r="J398" i="21"/>
  <c r="I398" i="21"/>
  <c r="J397" i="21"/>
  <c r="I397" i="21"/>
  <c r="J396" i="21"/>
  <c r="I396" i="21"/>
  <c r="J394" i="21"/>
  <c r="J393" i="21"/>
  <c r="J392" i="21"/>
  <c r="J391" i="21"/>
  <c r="N389" i="21"/>
  <c r="N388" i="21"/>
  <c r="N387" i="21"/>
  <c r="N386" i="21"/>
  <c r="N385" i="21"/>
  <c r="L385" i="21"/>
  <c r="N384" i="21"/>
  <c r="L384" i="21"/>
  <c r="O384" i="21" s="1"/>
  <c r="N383" i="21"/>
  <c r="L383" i="21"/>
  <c r="N382" i="21"/>
  <c r="L382" i="21"/>
  <c r="O382" i="21" s="1"/>
  <c r="J381" i="21"/>
  <c r="I381" i="21"/>
  <c r="N380" i="21"/>
  <c r="L380" i="21"/>
  <c r="J380" i="21"/>
  <c r="I380" i="21"/>
  <c r="J379" i="21"/>
  <c r="J378" i="21"/>
  <c r="J377" i="21"/>
  <c r="I377" i="21"/>
  <c r="J376" i="21"/>
  <c r="I376" i="21"/>
  <c r="J375" i="21"/>
  <c r="I375" i="21"/>
  <c r="J374" i="21"/>
  <c r="I374" i="21"/>
  <c r="J373" i="21"/>
  <c r="I373" i="21"/>
  <c r="K373" i="21" s="1"/>
  <c r="J372" i="21"/>
  <c r="I372" i="21"/>
  <c r="J371" i="21"/>
  <c r="I371" i="21"/>
  <c r="K371" i="21" s="1"/>
  <c r="J370" i="21"/>
  <c r="I370" i="21"/>
  <c r="J369" i="21"/>
  <c r="I369" i="21"/>
  <c r="J368" i="21"/>
  <c r="I368" i="21"/>
  <c r="J367" i="21"/>
  <c r="J366" i="21"/>
  <c r="J365" i="21"/>
  <c r="I365" i="21"/>
  <c r="K365" i="21" s="1"/>
  <c r="J364" i="21"/>
  <c r="J363" i="21"/>
  <c r="J362" i="21"/>
  <c r="J361" i="21"/>
  <c r="J360" i="21"/>
  <c r="N358" i="21"/>
  <c r="N357" i="21"/>
  <c r="N356" i="21"/>
  <c r="N355" i="21"/>
  <c r="N354" i="21"/>
  <c r="L354" i="21"/>
  <c r="N353" i="21"/>
  <c r="L353" i="21"/>
  <c r="O353" i="21" s="1"/>
  <c r="N352" i="21"/>
  <c r="L352" i="21"/>
  <c r="N351" i="21"/>
  <c r="L351" i="21"/>
  <c r="O351" i="21" s="1"/>
  <c r="J350" i="21"/>
  <c r="I350" i="21"/>
  <c r="N349" i="21"/>
  <c r="L349" i="21"/>
  <c r="J349" i="21"/>
  <c r="I349" i="21"/>
  <c r="N347" i="21"/>
  <c r="L347" i="21"/>
  <c r="J346" i="21"/>
  <c r="I346" i="21"/>
  <c r="K346" i="21" s="1"/>
  <c r="J345" i="21"/>
  <c r="I345" i="21"/>
  <c r="J344" i="21"/>
  <c r="I344" i="21"/>
  <c r="K344" i="21" s="1"/>
  <c r="J343" i="21"/>
  <c r="I343" i="21"/>
  <c r="J342" i="21"/>
  <c r="I342" i="21"/>
  <c r="K342" i="21" s="1"/>
  <c r="J341" i="21"/>
  <c r="I341" i="21"/>
  <c r="J340" i="21"/>
  <c r="I340" i="21"/>
  <c r="J339" i="21"/>
  <c r="I339" i="21"/>
  <c r="K339" i="21" s="1"/>
  <c r="N337" i="21"/>
  <c r="L337" i="21"/>
  <c r="O337" i="21" s="1"/>
  <c r="L335" i="21"/>
  <c r="L334" i="21"/>
  <c r="N333" i="21"/>
  <c r="M333" i="21"/>
  <c r="M331" i="21" s="1"/>
  <c r="O332" i="21"/>
  <c r="N330" i="21"/>
  <c r="M330" i="21"/>
  <c r="P330" i="21" s="1"/>
  <c r="L330" i="21"/>
  <c r="J328" i="21"/>
  <c r="I328" i="21"/>
  <c r="J326" i="21"/>
  <c r="J325" i="21"/>
  <c r="J324" i="21"/>
  <c r="I324" i="21"/>
  <c r="K324" i="21" s="1"/>
  <c r="J323" i="21"/>
  <c r="J322" i="21"/>
  <c r="J321" i="21"/>
  <c r="J320" i="21"/>
  <c r="N318" i="21"/>
  <c r="L318" i="21"/>
  <c r="O318" i="21" s="1"/>
  <c r="L316" i="21"/>
  <c r="L315" i="21"/>
  <c r="N314" i="21"/>
  <c r="M314" i="21"/>
  <c r="O313" i="21"/>
  <c r="P311" i="21"/>
  <c r="O311" i="21"/>
  <c r="N311" i="21"/>
  <c r="M311" i="21"/>
  <c r="L311" i="21"/>
  <c r="J309" i="21"/>
  <c r="I309" i="21"/>
  <c r="K309" i="21" s="1"/>
  <c r="J308" i="21"/>
  <c r="J307" i="21"/>
  <c r="J306" i="21"/>
  <c r="I306" i="21"/>
  <c r="K306" i="21" s="1"/>
  <c r="J304" i="21"/>
  <c r="I304" i="21"/>
  <c r="K304" i="21" s="1"/>
  <c r="J303" i="21"/>
  <c r="J302" i="21"/>
  <c r="J301" i="21"/>
  <c r="J300" i="21"/>
  <c r="N298" i="21"/>
  <c r="L298" i="21"/>
  <c r="O298" i="21" s="1"/>
  <c r="L296" i="21"/>
  <c r="L295" i="21"/>
  <c r="N294" i="21"/>
  <c r="M294" i="21"/>
  <c r="O293" i="21"/>
  <c r="P291" i="21"/>
  <c r="N291" i="21"/>
  <c r="M291" i="21"/>
  <c r="L291" i="21"/>
  <c r="O291" i="21" s="1"/>
  <c r="J289" i="21"/>
  <c r="I289" i="21"/>
  <c r="K289" i="21" s="1"/>
  <c r="J287" i="21"/>
  <c r="J286" i="21"/>
  <c r="J285" i="21"/>
  <c r="I285" i="21"/>
  <c r="J284" i="21"/>
  <c r="J283" i="21"/>
  <c r="J282" i="21"/>
  <c r="J281" i="21"/>
  <c r="N279" i="21"/>
  <c r="L279" i="21"/>
  <c r="O279" i="21" s="1"/>
  <c r="L277" i="21"/>
  <c r="L276" i="21"/>
  <c r="N275" i="21"/>
  <c r="M275" i="21"/>
  <c r="O274" i="21"/>
  <c r="P272" i="21"/>
  <c r="O272" i="21"/>
  <c r="N272" i="21"/>
  <c r="M272" i="21"/>
  <c r="L272" i="21"/>
  <c r="J270" i="21"/>
  <c r="I270" i="21"/>
  <c r="J269" i="21"/>
  <c r="J268" i="21"/>
  <c r="J267" i="21"/>
  <c r="I267" i="21"/>
  <c r="J266" i="21"/>
  <c r="I266" i="21"/>
  <c r="J265" i="21"/>
  <c r="I265" i="21"/>
  <c r="J264" i="21"/>
  <c r="I264" i="21"/>
  <c r="J263" i="21"/>
  <c r="J262" i="21"/>
  <c r="J261" i="21"/>
  <c r="J260" i="21"/>
  <c r="N258" i="21"/>
  <c r="L258" i="21"/>
  <c r="O258" i="21" s="1"/>
  <c r="L256" i="21"/>
  <c r="L255" i="21"/>
  <c r="N254" i="21"/>
  <c r="M254" i="21"/>
  <c r="O253" i="21"/>
  <c r="P251" i="21"/>
  <c r="O251" i="21"/>
  <c r="N251" i="21"/>
  <c r="M251" i="21"/>
  <c r="L251" i="21"/>
  <c r="J249" i="21"/>
  <c r="I249" i="21"/>
  <c r="J246" i="21"/>
  <c r="J245" i="21"/>
  <c r="J244" i="21"/>
  <c r="I244" i="21"/>
  <c r="K244" i="21" s="1"/>
  <c r="J243" i="21"/>
  <c r="J242" i="21"/>
  <c r="J241" i="21"/>
  <c r="J240" i="21"/>
  <c r="J238" i="21"/>
  <c r="I238" i="21"/>
  <c r="K238" i="21" s="1"/>
  <c r="J237" i="21"/>
  <c r="J236" i="21"/>
  <c r="J235" i="21"/>
  <c r="I235" i="21"/>
  <c r="J234" i="21"/>
  <c r="J233" i="21"/>
  <c r="J232" i="21"/>
  <c r="J231" i="21"/>
  <c r="J229" i="21"/>
  <c r="I229" i="21"/>
  <c r="N228" i="21"/>
  <c r="L228" i="21"/>
  <c r="O228" i="21" s="1"/>
  <c r="L226" i="21"/>
  <c r="L225" i="21"/>
  <c r="N224" i="21"/>
  <c r="M224" i="21"/>
  <c r="O223" i="21"/>
  <c r="N221" i="21"/>
  <c r="M221" i="21"/>
  <c r="L221" i="21"/>
  <c r="J219" i="21"/>
  <c r="I219" i="21"/>
  <c r="J218" i="21"/>
  <c r="J217" i="21"/>
  <c r="J216" i="21"/>
  <c r="I216" i="21"/>
  <c r="J215" i="21"/>
  <c r="I215" i="21"/>
  <c r="K215" i="21" s="1"/>
  <c r="J213" i="21"/>
  <c r="I213" i="21"/>
  <c r="J212" i="21"/>
  <c r="J211" i="21"/>
  <c r="J210" i="21"/>
  <c r="J209" i="21"/>
  <c r="J204" i="21"/>
  <c r="I204" i="21"/>
  <c r="J203" i="21"/>
  <c r="J202" i="21"/>
  <c r="J201" i="21"/>
  <c r="I201" i="21"/>
  <c r="K201" i="21" s="1"/>
  <c r="J200" i="21"/>
  <c r="I200" i="21"/>
  <c r="J199" i="21"/>
  <c r="I199" i="21"/>
  <c r="J197" i="21"/>
  <c r="J196" i="21"/>
  <c r="J195" i="21"/>
  <c r="J194" i="21"/>
  <c r="J189" i="21"/>
  <c r="I189" i="21"/>
  <c r="J188" i="21"/>
  <c r="J187" i="21"/>
  <c r="J186" i="21"/>
  <c r="I186" i="21"/>
  <c r="J185" i="21"/>
  <c r="I185" i="21"/>
  <c r="J184" i="21"/>
  <c r="J183" i="21"/>
  <c r="J182" i="21"/>
  <c r="J181" i="21"/>
  <c r="J176" i="21"/>
  <c r="I176" i="21"/>
  <c r="J175" i="21"/>
  <c r="J174" i="21"/>
  <c r="J173" i="21"/>
  <c r="I173" i="21"/>
  <c r="J172" i="21"/>
  <c r="J171" i="21"/>
  <c r="J170" i="21"/>
  <c r="J169" i="21"/>
  <c r="J164" i="21"/>
  <c r="I164" i="21"/>
  <c r="J163" i="21"/>
  <c r="J162" i="21"/>
  <c r="J161" i="21"/>
  <c r="J160" i="21"/>
  <c r="J159" i="21"/>
  <c r="J158" i="21"/>
  <c r="I158" i="21"/>
  <c r="J157" i="21"/>
  <c r="J156" i="21"/>
  <c r="J155" i="21"/>
  <c r="J154" i="21"/>
  <c r="J149" i="21"/>
  <c r="I149" i="21"/>
  <c r="N148" i="21"/>
  <c r="L148" i="21"/>
  <c r="O148" i="21" s="1"/>
  <c r="L146" i="21"/>
  <c r="L145" i="21"/>
  <c r="N144" i="21"/>
  <c r="M144" i="21"/>
  <c r="O143" i="21"/>
  <c r="P141" i="21"/>
  <c r="O141" i="21"/>
  <c r="N141" i="21"/>
  <c r="M141" i="21"/>
  <c r="L141" i="21"/>
  <c r="J138" i="21"/>
  <c r="I138" i="21"/>
  <c r="J135" i="21"/>
  <c r="J134" i="21"/>
  <c r="J133" i="21"/>
  <c r="I133" i="21"/>
  <c r="K133" i="21" s="1"/>
  <c r="J132" i="21"/>
  <c r="I132" i="21"/>
  <c r="K132" i="21" s="1"/>
  <c r="J131" i="21"/>
  <c r="J130" i="21"/>
  <c r="J129" i="21"/>
  <c r="J128" i="21"/>
  <c r="N126" i="21"/>
  <c r="L126" i="21"/>
  <c r="O126" i="21" s="1"/>
  <c r="L124" i="21"/>
  <c r="L123" i="21"/>
  <c r="N122" i="21"/>
  <c r="M122" i="21"/>
  <c r="P122" i="21" s="1"/>
  <c r="O121" i="21"/>
  <c r="P119" i="21"/>
  <c r="O119" i="21"/>
  <c r="N119" i="21"/>
  <c r="M119" i="21"/>
  <c r="L119" i="21"/>
  <c r="J117" i="21"/>
  <c r="I117" i="21"/>
  <c r="K117" i="21" s="1"/>
  <c r="J115" i="21"/>
  <c r="J114" i="21"/>
  <c r="J113" i="21"/>
  <c r="I113" i="21"/>
  <c r="J112" i="21"/>
  <c r="I112" i="21"/>
  <c r="J111" i="21"/>
  <c r="I111" i="21"/>
  <c r="J110" i="21"/>
  <c r="I110" i="21"/>
  <c r="J109" i="21"/>
  <c r="I109" i="21"/>
  <c r="J108" i="21"/>
  <c r="I108" i="21"/>
  <c r="J107" i="21"/>
  <c r="J106" i="21"/>
  <c r="J105" i="21"/>
  <c r="J104" i="21"/>
  <c r="N102" i="21"/>
  <c r="L102" i="21"/>
  <c r="L100" i="21"/>
  <c r="L99" i="21"/>
  <c r="N98" i="21"/>
  <c r="M98" i="21"/>
  <c r="O97" i="21"/>
  <c r="O95" i="21"/>
  <c r="N95" i="21"/>
  <c r="M95" i="21"/>
  <c r="P95" i="21" s="1"/>
  <c r="L95" i="21"/>
  <c r="J93" i="21"/>
  <c r="I93" i="21"/>
  <c r="J92" i="21"/>
  <c r="I92" i="21"/>
  <c r="J90" i="21"/>
  <c r="J89" i="21"/>
  <c r="J88" i="21"/>
  <c r="I88" i="21"/>
  <c r="K88" i="21" s="1"/>
  <c r="J87" i="21"/>
  <c r="I87" i="21"/>
  <c r="K87" i="21" s="1"/>
  <c r="J86" i="21"/>
  <c r="I86" i="21"/>
  <c r="K86" i="21" s="1"/>
  <c r="J85" i="21"/>
  <c r="I85" i="21"/>
  <c r="K85" i="21" s="1"/>
  <c r="J84" i="21"/>
  <c r="I84" i="21"/>
  <c r="K84" i="21" s="1"/>
  <c r="J83" i="21"/>
  <c r="I83" i="21"/>
  <c r="K83" i="21" s="1"/>
  <c r="J82" i="21"/>
  <c r="I82" i="21"/>
  <c r="K82" i="21" s="1"/>
  <c r="J81" i="21"/>
  <c r="I81" i="21"/>
  <c r="K81" i="21" s="1"/>
  <c r="J80" i="21"/>
  <c r="I80" i="21"/>
  <c r="K80" i="21" s="1"/>
  <c r="J79" i="21"/>
  <c r="J78" i="21"/>
  <c r="J77" i="21"/>
  <c r="J76" i="21"/>
  <c r="N74" i="21"/>
  <c r="L74" i="21"/>
  <c r="O74" i="21" s="1"/>
  <c r="L72" i="21"/>
  <c r="L71" i="21"/>
  <c r="N70" i="21"/>
  <c r="M70" i="21"/>
  <c r="P70" i="21" s="1"/>
  <c r="O69" i="21"/>
  <c r="P67" i="21"/>
  <c r="O67" i="21"/>
  <c r="N67" i="21"/>
  <c r="M67" i="21"/>
  <c r="L67" i="21"/>
  <c r="J65" i="21"/>
  <c r="I65" i="21"/>
  <c r="K65" i="21" s="1"/>
  <c r="J64" i="21"/>
  <c r="I64" i="21"/>
  <c r="K64" i="21" s="1"/>
  <c r="N61" i="21"/>
  <c r="L61" i="21"/>
  <c r="L59" i="21"/>
  <c r="L58" i="21"/>
  <c r="N57" i="21"/>
  <c r="M57" i="21"/>
  <c r="O54" i="21"/>
  <c r="N54" i="21"/>
  <c r="M54" i="21"/>
  <c r="P54" i="21" s="1"/>
  <c r="L54" i="21"/>
  <c r="N49" i="21"/>
  <c r="L49" i="21"/>
  <c r="M49" i="21" s="1"/>
  <c r="L47" i="21"/>
  <c r="L46" i="21"/>
  <c r="N45" i="21"/>
  <c r="M45" i="21"/>
  <c r="P42" i="21"/>
  <c r="N42" i="21"/>
  <c r="M42" i="21"/>
  <c r="L42" i="21"/>
  <c r="P36" i="21"/>
  <c r="O36" i="21"/>
  <c r="P35" i="21"/>
  <c r="O35" i="21"/>
  <c r="M34" i="21"/>
  <c r="P34" i="21" s="1"/>
  <c r="P33" i="21"/>
  <c r="M33" i="21"/>
  <c r="P32" i="21"/>
  <c r="M32" i="21"/>
  <c r="M30" i="21" s="1"/>
  <c r="P30" i="21" s="1"/>
  <c r="M31" i="21"/>
  <c r="P31" i="21" s="1"/>
  <c r="M29" i="21"/>
  <c r="P29" i="21" s="1"/>
  <c r="M28" i="21"/>
  <c r="P28" i="21" s="1"/>
  <c r="N25" i="21"/>
  <c r="M25" i="21"/>
  <c r="L25" i="21"/>
  <c r="O25" i="21" s="1"/>
  <c r="P24" i="21"/>
  <c r="N24" i="21"/>
  <c r="M24" i="21"/>
  <c r="N23" i="21"/>
  <c r="M23" i="21"/>
  <c r="P23" i="21" s="1"/>
  <c r="P21" i="21"/>
  <c r="O21" i="21"/>
  <c r="N21" i="21"/>
  <c r="M21" i="21"/>
  <c r="L21" i="21"/>
  <c r="M19" i="21"/>
  <c r="L15" i="21"/>
  <c r="O15" i="21" s="1"/>
  <c r="M14" i="21"/>
  <c r="P14" i="21" s="1"/>
  <c r="J635" i="20"/>
  <c r="I635" i="20"/>
  <c r="J634" i="20"/>
  <c r="I634" i="20"/>
  <c r="J633" i="20"/>
  <c r="I633" i="20"/>
  <c r="J632" i="20"/>
  <c r="I632" i="20"/>
  <c r="J631" i="20"/>
  <c r="I631" i="20"/>
  <c r="J630" i="20"/>
  <c r="I630" i="20"/>
  <c r="J629" i="20"/>
  <c r="I629" i="20"/>
  <c r="J628" i="20"/>
  <c r="I628" i="20"/>
  <c r="J626" i="20"/>
  <c r="I626" i="20"/>
  <c r="J625" i="20"/>
  <c r="I625" i="20"/>
  <c r="J624" i="20"/>
  <c r="I624" i="20"/>
  <c r="J623" i="20"/>
  <c r="I623" i="20"/>
  <c r="J622" i="20"/>
  <c r="I622" i="20"/>
  <c r="J621" i="20"/>
  <c r="I621" i="20"/>
  <c r="J620" i="20"/>
  <c r="I620" i="20"/>
  <c r="K622" i="20" s="1"/>
  <c r="J619" i="20"/>
  <c r="I619" i="20"/>
  <c r="J618" i="20"/>
  <c r="I618" i="20"/>
  <c r="J617" i="20"/>
  <c r="I617" i="20"/>
  <c r="J616" i="20"/>
  <c r="I616" i="20"/>
  <c r="J615" i="20"/>
  <c r="I615" i="20"/>
  <c r="J614" i="20"/>
  <c r="I614" i="20"/>
  <c r="J613" i="20"/>
  <c r="I613" i="20"/>
  <c r="J612" i="20"/>
  <c r="I612" i="20"/>
  <c r="J611" i="20"/>
  <c r="I611" i="20"/>
  <c r="J610" i="20"/>
  <c r="J609" i="20"/>
  <c r="J608" i="20"/>
  <c r="J607" i="20"/>
  <c r="N605" i="20"/>
  <c r="N604" i="20"/>
  <c r="N603" i="20"/>
  <c r="N602" i="20"/>
  <c r="N601" i="20"/>
  <c r="L601" i="20"/>
  <c r="N600" i="20"/>
  <c r="L600" i="20"/>
  <c r="O600" i="20" s="1"/>
  <c r="N599" i="20"/>
  <c r="L599" i="20"/>
  <c r="N598" i="20"/>
  <c r="L598" i="20"/>
  <c r="O598" i="20" s="1"/>
  <c r="N597" i="20"/>
  <c r="L597" i="20"/>
  <c r="J597" i="20"/>
  <c r="I597" i="20"/>
  <c r="J596" i="20"/>
  <c r="I596" i="20"/>
  <c r="K596" i="20" s="1"/>
  <c r="J595" i="20"/>
  <c r="I595" i="20"/>
  <c r="J594" i="20"/>
  <c r="I594" i="20"/>
  <c r="K594" i="20" s="1"/>
  <c r="J593" i="20"/>
  <c r="I593" i="20"/>
  <c r="J592" i="20"/>
  <c r="I592" i="20"/>
  <c r="K592" i="20" s="1"/>
  <c r="J591" i="20"/>
  <c r="I591" i="20"/>
  <c r="J590" i="20"/>
  <c r="I590" i="20"/>
  <c r="K590" i="20" s="1"/>
  <c r="J589" i="20"/>
  <c r="I589" i="20"/>
  <c r="N588" i="20"/>
  <c r="N587" i="20"/>
  <c r="N586" i="20"/>
  <c r="N585" i="20"/>
  <c r="N584" i="20"/>
  <c r="L584" i="20"/>
  <c r="N583" i="20"/>
  <c r="L583" i="20"/>
  <c r="O583" i="20" s="1"/>
  <c r="N582" i="20"/>
  <c r="L582" i="20"/>
  <c r="N581" i="20"/>
  <c r="L581" i="20"/>
  <c r="O581" i="20" s="1"/>
  <c r="N580" i="20"/>
  <c r="L580" i="20"/>
  <c r="J580" i="20"/>
  <c r="I580" i="20"/>
  <c r="J579" i="20"/>
  <c r="I579" i="20"/>
  <c r="K579" i="20" s="1"/>
  <c r="J578" i="20"/>
  <c r="I578" i="20"/>
  <c r="K578" i="20" s="1"/>
  <c r="J577" i="20"/>
  <c r="I577" i="20"/>
  <c r="K577" i="20" s="1"/>
  <c r="J576" i="20"/>
  <c r="I576" i="20"/>
  <c r="K576" i="20" s="1"/>
  <c r="J575" i="20"/>
  <c r="I575" i="20"/>
  <c r="K575" i="20" s="1"/>
  <c r="J573" i="20"/>
  <c r="I573" i="20"/>
  <c r="N572" i="20"/>
  <c r="N571" i="20"/>
  <c r="N570" i="20"/>
  <c r="N569" i="20"/>
  <c r="N568" i="20"/>
  <c r="L568" i="20"/>
  <c r="N567" i="20"/>
  <c r="L567" i="20"/>
  <c r="O567" i="20" s="1"/>
  <c r="N566" i="20"/>
  <c r="L566" i="20"/>
  <c r="N565" i="20"/>
  <c r="L565" i="20"/>
  <c r="O565" i="20" s="1"/>
  <c r="N564" i="20"/>
  <c r="L564" i="20"/>
  <c r="J564" i="20"/>
  <c r="I564" i="20"/>
  <c r="J561" i="20"/>
  <c r="I561" i="20"/>
  <c r="K561" i="20" s="1"/>
  <c r="J560" i="20"/>
  <c r="I560" i="20"/>
  <c r="K560" i="20" s="1"/>
  <c r="N559" i="20"/>
  <c r="N558" i="20"/>
  <c r="N557" i="20"/>
  <c r="N556" i="20"/>
  <c r="N555" i="20"/>
  <c r="L555" i="20"/>
  <c r="O555" i="20" s="1"/>
  <c r="N554" i="20"/>
  <c r="L554" i="20"/>
  <c r="O554" i="20" s="1"/>
  <c r="N553" i="20"/>
  <c r="L553" i="20"/>
  <c r="O553" i="20" s="1"/>
  <c r="N552" i="20"/>
  <c r="L552" i="20"/>
  <c r="O552" i="20" s="1"/>
  <c r="N551" i="20"/>
  <c r="L551" i="20"/>
  <c r="O551" i="20" s="1"/>
  <c r="J551" i="20"/>
  <c r="I551" i="20"/>
  <c r="K551" i="20" s="1"/>
  <c r="J550" i="20"/>
  <c r="J549" i="20"/>
  <c r="J548" i="20"/>
  <c r="I548" i="20"/>
  <c r="K548" i="20" s="1"/>
  <c r="J547" i="20"/>
  <c r="I547" i="20"/>
  <c r="J546" i="20"/>
  <c r="J545" i="20"/>
  <c r="J544" i="20"/>
  <c r="J543" i="20"/>
  <c r="N541" i="20"/>
  <c r="N540" i="20"/>
  <c r="N539" i="20"/>
  <c r="N538" i="20"/>
  <c r="N537" i="20"/>
  <c r="L537" i="20"/>
  <c r="N536" i="20"/>
  <c r="L536" i="20"/>
  <c r="O536" i="20" s="1"/>
  <c r="N535" i="20"/>
  <c r="L535" i="20"/>
  <c r="N534" i="20"/>
  <c r="L534" i="20"/>
  <c r="O534" i="20" s="1"/>
  <c r="N533" i="20"/>
  <c r="L533" i="20"/>
  <c r="J533" i="20"/>
  <c r="I533" i="20"/>
  <c r="J532" i="20"/>
  <c r="I532" i="20"/>
  <c r="J531" i="20"/>
  <c r="I531" i="20"/>
  <c r="J530" i="20"/>
  <c r="I530" i="20"/>
  <c r="J529" i="20"/>
  <c r="I529" i="20"/>
  <c r="J528" i="20"/>
  <c r="I528" i="20"/>
  <c r="J527" i="20"/>
  <c r="I527" i="20"/>
  <c r="J526" i="20"/>
  <c r="I526" i="20"/>
  <c r="J525" i="20"/>
  <c r="I525" i="20"/>
  <c r="J524" i="20"/>
  <c r="I524" i="20"/>
  <c r="J523" i="20"/>
  <c r="I523" i="20"/>
  <c r="J522" i="20"/>
  <c r="I522" i="20"/>
  <c r="J521" i="20"/>
  <c r="I521" i="20"/>
  <c r="J520" i="20"/>
  <c r="I520" i="20"/>
  <c r="J519" i="20"/>
  <c r="I519" i="20"/>
  <c r="J518" i="20"/>
  <c r="I518" i="20"/>
  <c r="J517" i="20"/>
  <c r="I517" i="20"/>
  <c r="J516" i="20"/>
  <c r="I516" i="20"/>
  <c r="J515" i="20"/>
  <c r="I515" i="20"/>
  <c r="K515" i="20" s="1"/>
  <c r="J514" i="20"/>
  <c r="I514" i="20"/>
  <c r="K514" i="20" s="1"/>
  <c r="J513" i="20"/>
  <c r="I513" i="20"/>
  <c r="K513" i="20" s="1"/>
  <c r="J512" i="20"/>
  <c r="I512" i="20"/>
  <c r="K512" i="20" s="1"/>
  <c r="J511" i="20"/>
  <c r="I511" i="20"/>
  <c r="K511" i="20" s="1"/>
  <c r="J510" i="20"/>
  <c r="I510" i="20"/>
  <c r="K510" i="20" s="1"/>
  <c r="J509" i="20"/>
  <c r="I509" i="20"/>
  <c r="K509" i="20" s="1"/>
  <c r="J508" i="20"/>
  <c r="I508" i="20"/>
  <c r="K508" i="20" s="1"/>
  <c r="J507" i="20"/>
  <c r="I507" i="20"/>
  <c r="K507" i="20" s="1"/>
  <c r="J506" i="20"/>
  <c r="I506" i="20"/>
  <c r="K506" i="20" s="1"/>
  <c r="J505" i="20"/>
  <c r="I505" i="20"/>
  <c r="K505" i="20" s="1"/>
  <c r="J504" i="20"/>
  <c r="I504" i="20"/>
  <c r="K504" i="20" s="1"/>
  <c r="J503" i="20"/>
  <c r="I503" i="20"/>
  <c r="K503" i="20" s="1"/>
  <c r="J502" i="20"/>
  <c r="I502" i="20"/>
  <c r="K502" i="20" s="1"/>
  <c r="J501" i="20"/>
  <c r="I501" i="20"/>
  <c r="K501" i="20" s="1"/>
  <c r="J500" i="20"/>
  <c r="I500" i="20"/>
  <c r="K500" i="20" s="1"/>
  <c r="J499" i="20"/>
  <c r="I499" i="20"/>
  <c r="J498" i="20"/>
  <c r="I498" i="20"/>
  <c r="J497" i="20"/>
  <c r="I497" i="20"/>
  <c r="J496" i="20"/>
  <c r="I496" i="20"/>
  <c r="K496" i="20" s="1"/>
  <c r="J495" i="20"/>
  <c r="I495" i="20"/>
  <c r="K495" i="20" s="1"/>
  <c r="J494" i="20"/>
  <c r="I494" i="20"/>
  <c r="K494" i="20" s="1"/>
  <c r="J493" i="20"/>
  <c r="I493" i="20"/>
  <c r="K493" i="20" s="1"/>
  <c r="J492" i="20"/>
  <c r="I492" i="20"/>
  <c r="K492" i="20" s="1"/>
  <c r="J491" i="20"/>
  <c r="I491" i="20"/>
  <c r="K491" i="20" s="1"/>
  <c r="J490" i="20"/>
  <c r="I490" i="20"/>
  <c r="K490" i="20" s="1"/>
  <c r="J489" i="20"/>
  <c r="I489" i="20"/>
  <c r="K489" i="20" s="1"/>
  <c r="J488" i="20"/>
  <c r="I488" i="20"/>
  <c r="K488" i="20" s="1"/>
  <c r="J487" i="20"/>
  <c r="I487" i="20"/>
  <c r="K487" i="20" s="1"/>
  <c r="J486" i="20"/>
  <c r="I486" i="20"/>
  <c r="K486" i="20" s="1"/>
  <c r="J485" i="20"/>
  <c r="I485" i="20"/>
  <c r="K485" i="20" s="1"/>
  <c r="J484" i="20"/>
  <c r="I484" i="20"/>
  <c r="K484" i="20" s="1"/>
  <c r="J483" i="20"/>
  <c r="I483" i="20"/>
  <c r="K483" i="20" s="1"/>
  <c r="J482" i="20"/>
  <c r="I482" i="20"/>
  <c r="J481" i="20"/>
  <c r="I481" i="20"/>
  <c r="J480" i="20"/>
  <c r="I480" i="20"/>
  <c r="K480" i="20" s="1"/>
  <c r="J479" i="20"/>
  <c r="I479" i="20"/>
  <c r="K479" i="20" s="1"/>
  <c r="J478" i="20"/>
  <c r="I478" i="20"/>
  <c r="K478" i="20" s="1"/>
  <c r="J477" i="20"/>
  <c r="I477" i="20"/>
  <c r="K477" i="20" s="1"/>
  <c r="J476" i="20"/>
  <c r="I476" i="20"/>
  <c r="K476" i="20" s="1"/>
  <c r="J475" i="20"/>
  <c r="I475" i="20"/>
  <c r="K475" i="20" s="1"/>
  <c r="J474" i="20"/>
  <c r="I474" i="20"/>
  <c r="J473" i="20"/>
  <c r="I473" i="20"/>
  <c r="J472" i="20"/>
  <c r="I472" i="20"/>
  <c r="K472" i="20" s="1"/>
  <c r="J471" i="20"/>
  <c r="I471" i="20"/>
  <c r="K471" i="20" s="1"/>
  <c r="J470" i="20"/>
  <c r="I470" i="20"/>
  <c r="K470" i="20" s="1"/>
  <c r="J469" i="20"/>
  <c r="I469" i="20"/>
  <c r="K469" i="20" s="1"/>
  <c r="J468" i="20"/>
  <c r="I468" i="20"/>
  <c r="K468" i="20" s="1"/>
  <c r="J467" i="20"/>
  <c r="I467" i="20"/>
  <c r="K467" i="20" s="1"/>
  <c r="J466" i="20"/>
  <c r="I466" i="20"/>
  <c r="J465" i="20"/>
  <c r="I465" i="20"/>
  <c r="J464" i="20"/>
  <c r="I464" i="20"/>
  <c r="N463" i="20"/>
  <c r="N462" i="20"/>
  <c r="N461" i="20"/>
  <c r="N460" i="20"/>
  <c r="N459" i="20"/>
  <c r="L459" i="20"/>
  <c r="N458" i="20"/>
  <c r="L458" i="20"/>
  <c r="O458" i="20" s="1"/>
  <c r="N457" i="20"/>
  <c r="L457" i="20"/>
  <c r="N456" i="20"/>
  <c r="L456" i="20"/>
  <c r="O456" i="20" s="1"/>
  <c r="N455" i="20"/>
  <c r="L455" i="20"/>
  <c r="J455" i="20"/>
  <c r="I455" i="20"/>
  <c r="J454" i="20"/>
  <c r="J453" i="20"/>
  <c r="J452" i="20"/>
  <c r="I452" i="20"/>
  <c r="K452" i="20" s="1"/>
  <c r="J451" i="20"/>
  <c r="I451" i="20"/>
  <c r="K451" i="20" s="1"/>
  <c r="J450" i="20"/>
  <c r="I450" i="20"/>
  <c r="J449" i="20"/>
  <c r="I449" i="20"/>
  <c r="J448" i="20"/>
  <c r="J447" i="20"/>
  <c r="J446" i="20"/>
  <c r="J445" i="20"/>
  <c r="N443" i="20"/>
  <c r="N442" i="20"/>
  <c r="N441" i="20"/>
  <c r="N440" i="20"/>
  <c r="N439" i="20"/>
  <c r="L439" i="20"/>
  <c r="N438" i="20"/>
  <c r="L438" i="20"/>
  <c r="O438" i="20" s="1"/>
  <c r="N437" i="20"/>
  <c r="L437" i="20"/>
  <c r="N436" i="20"/>
  <c r="L436" i="20"/>
  <c r="O436" i="20" s="1"/>
  <c r="N435" i="20"/>
  <c r="L435" i="20"/>
  <c r="J435" i="20"/>
  <c r="I435" i="20"/>
  <c r="J434" i="20"/>
  <c r="J433" i="20"/>
  <c r="J432" i="20"/>
  <c r="I432" i="20"/>
  <c r="J431" i="20"/>
  <c r="I431" i="20"/>
  <c r="J430" i="20"/>
  <c r="I430" i="20"/>
  <c r="J429" i="20"/>
  <c r="I429" i="20"/>
  <c r="J428" i="20"/>
  <c r="I428" i="20"/>
  <c r="J427" i="20"/>
  <c r="I427" i="20"/>
  <c r="J426" i="20"/>
  <c r="I426" i="20"/>
  <c r="J425" i="20"/>
  <c r="I425" i="20"/>
  <c r="J424" i="20"/>
  <c r="I424" i="20"/>
  <c r="J423" i="20"/>
  <c r="I423" i="20"/>
  <c r="J422" i="20"/>
  <c r="I422" i="20"/>
  <c r="J421" i="20"/>
  <c r="I421" i="20"/>
  <c r="J420" i="20"/>
  <c r="I420" i="20"/>
  <c r="J419" i="20"/>
  <c r="I419" i="20"/>
  <c r="J418" i="20"/>
  <c r="I418" i="20"/>
  <c r="J417" i="20"/>
  <c r="I417" i="20"/>
  <c r="J416" i="20"/>
  <c r="I416" i="20"/>
  <c r="J415" i="20"/>
  <c r="J414" i="20"/>
  <c r="J413" i="20"/>
  <c r="J412" i="20"/>
  <c r="N410" i="20"/>
  <c r="N409" i="20"/>
  <c r="N408" i="20"/>
  <c r="N407" i="20"/>
  <c r="N406" i="20"/>
  <c r="L406" i="20"/>
  <c r="N405" i="20"/>
  <c r="L405" i="20"/>
  <c r="O405" i="20" s="1"/>
  <c r="N404" i="20"/>
  <c r="L404" i="20"/>
  <c r="N403" i="20"/>
  <c r="L403" i="20"/>
  <c r="O403" i="20" s="1"/>
  <c r="J402" i="20"/>
  <c r="I402" i="20"/>
  <c r="N401" i="20"/>
  <c r="L401" i="20"/>
  <c r="J401" i="20"/>
  <c r="I401" i="20"/>
  <c r="J400" i="20"/>
  <c r="J399" i="20"/>
  <c r="J398" i="20"/>
  <c r="I398" i="20"/>
  <c r="J397" i="20"/>
  <c r="I397" i="20"/>
  <c r="J396" i="20"/>
  <c r="I396" i="20"/>
  <c r="J394" i="20"/>
  <c r="J393" i="20"/>
  <c r="J392" i="20"/>
  <c r="J391" i="20"/>
  <c r="N389" i="20"/>
  <c r="N388" i="20"/>
  <c r="N387" i="20"/>
  <c r="N386" i="20"/>
  <c r="N385" i="20"/>
  <c r="L385" i="20"/>
  <c r="N384" i="20"/>
  <c r="L384" i="20"/>
  <c r="N383" i="20"/>
  <c r="L383" i="20"/>
  <c r="N382" i="20"/>
  <c r="L382" i="20"/>
  <c r="O382" i="20" s="1"/>
  <c r="J381" i="20"/>
  <c r="I381" i="20"/>
  <c r="N380" i="20"/>
  <c r="L380" i="20"/>
  <c r="J380" i="20"/>
  <c r="I380" i="20"/>
  <c r="J379" i="20"/>
  <c r="J378" i="20"/>
  <c r="J377" i="20"/>
  <c r="I377" i="20"/>
  <c r="J376" i="20"/>
  <c r="I376" i="20"/>
  <c r="J375" i="20"/>
  <c r="I375" i="20"/>
  <c r="J374" i="20"/>
  <c r="I374" i="20"/>
  <c r="J373" i="20"/>
  <c r="I373" i="20"/>
  <c r="K373" i="20" s="1"/>
  <c r="J372" i="20"/>
  <c r="I372" i="20"/>
  <c r="J371" i="20"/>
  <c r="I371" i="20"/>
  <c r="K371" i="20" s="1"/>
  <c r="J370" i="20"/>
  <c r="I370" i="20"/>
  <c r="J369" i="20"/>
  <c r="I369" i="20"/>
  <c r="K369" i="20" s="1"/>
  <c r="J368" i="20"/>
  <c r="I368" i="20"/>
  <c r="J367" i="20"/>
  <c r="J366" i="20"/>
  <c r="J365" i="20"/>
  <c r="I365" i="20"/>
  <c r="K365" i="20" s="1"/>
  <c r="J364" i="20"/>
  <c r="J363" i="20"/>
  <c r="J362" i="20"/>
  <c r="J361" i="20"/>
  <c r="J360" i="20"/>
  <c r="N358" i="20"/>
  <c r="N357" i="20"/>
  <c r="N356" i="20"/>
  <c r="N355" i="20"/>
  <c r="N354" i="20"/>
  <c r="L354" i="20"/>
  <c r="N353" i="20"/>
  <c r="L353" i="20"/>
  <c r="O353" i="20" s="1"/>
  <c r="N352" i="20"/>
  <c r="L352" i="20"/>
  <c r="N351" i="20"/>
  <c r="L351" i="20"/>
  <c r="J350" i="20"/>
  <c r="I350" i="20"/>
  <c r="N349" i="20"/>
  <c r="L349" i="20"/>
  <c r="J349" i="20"/>
  <c r="I349" i="20"/>
  <c r="N347" i="20"/>
  <c r="L347" i="20"/>
  <c r="J346" i="20"/>
  <c r="I346" i="20"/>
  <c r="K346" i="20" s="1"/>
  <c r="J345" i="20"/>
  <c r="I345" i="20"/>
  <c r="J344" i="20"/>
  <c r="I344" i="20"/>
  <c r="K344" i="20" s="1"/>
  <c r="J343" i="20"/>
  <c r="I343" i="20"/>
  <c r="J342" i="20"/>
  <c r="I342" i="20"/>
  <c r="K342" i="20" s="1"/>
  <c r="J341" i="20"/>
  <c r="I341" i="20"/>
  <c r="J340" i="20"/>
  <c r="I340" i="20"/>
  <c r="J339" i="20"/>
  <c r="I339" i="20"/>
  <c r="K339" i="20" s="1"/>
  <c r="N337" i="20"/>
  <c r="L337" i="20"/>
  <c r="L335" i="20"/>
  <c r="L334" i="20"/>
  <c r="N333" i="20"/>
  <c r="M333" i="20"/>
  <c r="O332" i="20"/>
  <c r="O330" i="20"/>
  <c r="N330" i="20"/>
  <c r="M330" i="20"/>
  <c r="L330" i="20"/>
  <c r="J328" i="20"/>
  <c r="I328" i="20"/>
  <c r="J326" i="20"/>
  <c r="J325" i="20"/>
  <c r="J324" i="20"/>
  <c r="I324" i="20"/>
  <c r="K324" i="20" s="1"/>
  <c r="J323" i="20"/>
  <c r="J322" i="20"/>
  <c r="J321" i="20"/>
  <c r="J320" i="20"/>
  <c r="N318" i="20"/>
  <c r="L318" i="20"/>
  <c r="O318" i="20" s="1"/>
  <c r="L316" i="20"/>
  <c r="L315" i="20"/>
  <c r="N314" i="20"/>
  <c r="M314" i="20"/>
  <c r="M312" i="20" s="1"/>
  <c r="P312" i="20" s="1"/>
  <c r="O313" i="20"/>
  <c r="N311" i="20"/>
  <c r="M311" i="20"/>
  <c r="P311" i="20" s="1"/>
  <c r="L311" i="20"/>
  <c r="O311" i="20" s="1"/>
  <c r="J309" i="20"/>
  <c r="I309" i="20"/>
  <c r="K309" i="20" s="1"/>
  <c r="J308" i="20"/>
  <c r="J307" i="20"/>
  <c r="J306" i="20"/>
  <c r="I306" i="20"/>
  <c r="K306" i="20" s="1"/>
  <c r="J304" i="20"/>
  <c r="I304" i="20"/>
  <c r="K304" i="20" s="1"/>
  <c r="J303" i="20"/>
  <c r="J302" i="20"/>
  <c r="J301" i="20"/>
  <c r="J300" i="20"/>
  <c r="N298" i="20"/>
  <c r="L298" i="20"/>
  <c r="O298" i="20" s="1"/>
  <c r="L296" i="20"/>
  <c r="L295" i="20"/>
  <c r="N294" i="20"/>
  <c r="M294" i="20"/>
  <c r="P294" i="20" s="1"/>
  <c r="O293" i="20"/>
  <c r="N291" i="20"/>
  <c r="M291" i="20"/>
  <c r="P291" i="20" s="1"/>
  <c r="L291" i="20"/>
  <c r="J289" i="20"/>
  <c r="I289" i="20"/>
  <c r="K289" i="20" s="1"/>
  <c r="J287" i="20"/>
  <c r="J286" i="20"/>
  <c r="J285" i="20"/>
  <c r="I285" i="20"/>
  <c r="J284" i="20"/>
  <c r="J283" i="20"/>
  <c r="J282" i="20"/>
  <c r="J281" i="20"/>
  <c r="N279" i="20"/>
  <c r="L279" i="20"/>
  <c r="O279" i="20" s="1"/>
  <c r="L277" i="20"/>
  <c r="L276" i="20"/>
  <c r="N275" i="20"/>
  <c r="M275" i="20"/>
  <c r="O274" i="20"/>
  <c r="P272" i="20"/>
  <c r="N272" i="20"/>
  <c r="M272" i="20"/>
  <c r="L272" i="20"/>
  <c r="O272" i="20" s="1"/>
  <c r="J270" i="20"/>
  <c r="I270" i="20"/>
  <c r="J269" i="20"/>
  <c r="J268" i="20"/>
  <c r="J267" i="20"/>
  <c r="I267" i="20"/>
  <c r="J266" i="20"/>
  <c r="I266" i="20"/>
  <c r="J265" i="20"/>
  <c r="I265" i="20"/>
  <c r="J264" i="20"/>
  <c r="I264" i="20"/>
  <c r="J263" i="20"/>
  <c r="J262" i="20"/>
  <c r="J261" i="20"/>
  <c r="J260" i="20"/>
  <c r="N258" i="20"/>
  <c r="L258" i="20"/>
  <c r="O258" i="20" s="1"/>
  <c r="L256" i="20"/>
  <c r="L255" i="20"/>
  <c r="N254" i="20"/>
  <c r="M254" i="20"/>
  <c r="M252" i="20" s="1"/>
  <c r="O253" i="20"/>
  <c r="O251" i="20"/>
  <c r="N251" i="20"/>
  <c r="M251" i="20"/>
  <c r="P251" i="20" s="1"/>
  <c r="L251" i="20"/>
  <c r="J249" i="20"/>
  <c r="I249" i="20"/>
  <c r="J246" i="20"/>
  <c r="J245" i="20"/>
  <c r="J244" i="20"/>
  <c r="I244" i="20"/>
  <c r="K244" i="20" s="1"/>
  <c r="J243" i="20"/>
  <c r="J242" i="20"/>
  <c r="J241" i="20"/>
  <c r="J240" i="20"/>
  <c r="J238" i="20"/>
  <c r="I238" i="20"/>
  <c r="K238" i="20" s="1"/>
  <c r="J237" i="20"/>
  <c r="J236" i="20"/>
  <c r="J235" i="20"/>
  <c r="I235" i="20"/>
  <c r="J234" i="20"/>
  <c r="J233" i="20"/>
  <c r="J232" i="20"/>
  <c r="J231" i="20"/>
  <c r="J229" i="20"/>
  <c r="I229" i="20"/>
  <c r="N228" i="20"/>
  <c r="L228" i="20"/>
  <c r="O228" i="20" s="1"/>
  <c r="L226" i="20"/>
  <c r="L225" i="20"/>
  <c r="N224" i="20"/>
  <c r="M224" i="20"/>
  <c r="O223" i="20"/>
  <c r="P221" i="20"/>
  <c r="O221" i="20"/>
  <c r="N221" i="20"/>
  <c r="M221" i="20"/>
  <c r="L221" i="20"/>
  <c r="J219" i="20"/>
  <c r="I219" i="20"/>
  <c r="J218" i="20"/>
  <c r="J217" i="20"/>
  <c r="J216" i="20"/>
  <c r="I216" i="20"/>
  <c r="K216" i="20" s="1"/>
  <c r="J215" i="20"/>
  <c r="I215" i="20"/>
  <c r="K215" i="20" s="1"/>
  <c r="J213" i="20"/>
  <c r="I213" i="20"/>
  <c r="K213" i="20" s="1"/>
  <c r="J212" i="20"/>
  <c r="J211" i="20"/>
  <c r="J210" i="20"/>
  <c r="J209" i="20"/>
  <c r="J204" i="20"/>
  <c r="I204" i="20"/>
  <c r="K204" i="20" s="1"/>
  <c r="J203" i="20"/>
  <c r="J202" i="20"/>
  <c r="J201" i="20"/>
  <c r="I201" i="20"/>
  <c r="K201" i="20" s="1"/>
  <c r="J200" i="20"/>
  <c r="I200" i="20"/>
  <c r="J199" i="20"/>
  <c r="I199" i="20"/>
  <c r="J197" i="20"/>
  <c r="J196" i="20"/>
  <c r="J195" i="20"/>
  <c r="J194" i="20"/>
  <c r="J189" i="20"/>
  <c r="I189" i="20"/>
  <c r="J188" i="20"/>
  <c r="J187" i="20"/>
  <c r="J186" i="20"/>
  <c r="I186" i="20"/>
  <c r="J185" i="20"/>
  <c r="I185" i="20"/>
  <c r="J184" i="20"/>
  <c r="J183" i="20"/>
  <c r="J182" i="20"/>
  <c r="J181" i="20"/>
  <c r="J176" i="20"/>
  <c r="I176" i="20"/>
  <c r="J175" i="20"/>
  <c r="J174" i="20"/>
  <c r="J173" i="20"/>
  <c r="I173" i="20"/>
  <c r="J172" i="20"/>
  <c r="J171" i="20"/>
  <c r="J170" i="20"/>
  <c r="J169" i="20"/>
  <c r="J164" i="20"/>
  <c r="I164" i="20"/>
  <c r="J163" i="20"/>
  <c r="J162" i="20"/>
  <c r="J161" i="20"/>
  <c r="J160" i="20"/>
  <c r="J159" i="20"/>
  <c r="J158" i="20"/>
  <c r="I158" i="20"/>
  <c r="J157" i="20"/>
  <c r="J156" i="20"/>
  <c r="J155" i="20"/>
  <c r="J154" i="20"/>
  <c r="J149" i="20"/>
  <c r="I149" i="20"/>
  <c r="N148" i="20"/>
  <c r="L148" i="20"/>
  <c r="L146" i="20"/>
  <c r="L145" i="20"/>
  <c r="N144" i="20"/>
  <c r="M144" i="20"/>
  <c r="M142" i="20" s="1"/>
  <c r="O143" i="20"/>
  <c r="O141" i="20"/>
  <c r="N141" i="20"/>
  <c r="M141" i="20"/>
  <c r="P141" i="20" s="1"/>
  <c r="L141" i="20"/>
  <c r="J138" i="20"/>
  <c r="I138" i="20"/>
  <c r="K138" i="20" s="1"/>
  <c r="J135" i="20"/>
  <c r="J134" i="20"/>
  <c r="J133" i="20"/>
  <c r="I133" i="20"/>
  <c r="J132" i="20"/>
  <c r="I132" i="20"/>
  <c r="J131" i="20"/>
  <c r="J130" i="20"/>
  <c r="J129" i="20"/>
  <c r="J128" i="20"/>
  <c r="N126" i="20"/>
  <c r="L126" i="20"/>
  <c r="O126" i="20" s="1"/>
  <c r="L124" i="20"/>
  <c r="L123" i="20"/>
  <c r="N122" i="20"/>
  <c r="M122" i="20"/>
  <c r="O121" i="20"/>
  <c r="P119" i="20"/>
  <c r="N119" i="20"/>
  <c r="M119" i="20"/>
  <c r="L119" i="20"/>
  <c r="O119" i="20" s="1"/>
  <c r="J117" i="20"/>
  <c r="I117" i="20"/>
  <c r="J115" i="20"/>
  <c r="J114" i="20"/>
  <c r="J113" i="20"/>
  <c r="I113" i="20"/>
  <c r="K113" i="20" s="1"/>
  <c r="J112" i="20"/>
  <c r="I112" i="20"/>
  <c r="K112" i="20" s="1"/>
  <c r="J111" i="20"/>
  <c r="I111" i="20"/>
  <c r="K111" i="20" s="1"/>
  <c r="J110" i="20"/>
  <c r="I110" i="20"/>
  <c r="K110" i="20" s="1"/>
  <c r="J109" i="20"/>
  <c r="I109" i="20"/>
  <c r="K109" i="20" s="1"/>
  <c r="J108" i="20"/>
  <c r="I108" i="20"/>
  <c r="K108" i="20" s="1"/>
  <c r="J107" i="20"/>
  <c r="J106" i="20"/>
  <c r="J105" i="20"/>
  <c r="J104" i="20"/>
  <c r="N102" i="20"/>
  <c r="L102" i="20"/>
  <c r="O102" i="20" s="1"/>
  <c r="L100" i="20"/>
  <c r="L99" i="20"/>
  <c r="N98" i="20"/>
  <c r="M98" i="20"/>
  <c r="P98" i="20" s="1"/>
  <c r="O97" i="20"/>
  <c r="P95" i="20"/>
  <c r="O95" i="20"/>
  <c r="N95" i="20"/>
  <c r="M95" i="20"/>
  <c r="L95" i="20"/>
  <c r="J93" i="20"/>
  <c r="I93" i="20"/>
  <c r="K93" i="20" s="1"/>
  <c r="J92" i="20"/>
  <c r="I92" i="20"/>
  <c r="K92" i="20" s="1"/>
  <c r="J90" i="20"/>
  <c r="J89" i="20"/>
  <c r="J88" i="20"/>
  <c r="I88" i="20"/>
  <c r="J87" i="20"/>
  <c r="I87" i="20"/>
  <c r="K87" i="20" s="1"/>
  <c r="J86" i="20"/>
  <c r="I86" i="20"/>
  <c r="K86" i="20" s="1"/>
  <c r="J85" i="20"/>
  <c r="I85" i="20"/>
  <c r="K85" i="20" s="1"/>
  <c r="J84" i="20"/>
  <c r="I84" i="20"/>
  <c r="K84" i="20" s="1"/>
  <c r="J83" i="20"/>
  <c r="I83" i="20"/>
  <c r="J82" i="20"/>
  <c r="I82" i="20"/>
  <c r="J81" i="20"/>
  <c r="I81" i="20"/>
  <c r="J80" i="20"/>
  <c r="I80" i="20"/>
  <c r="J79" i="20"/>
  <c r="J78" i="20"/>
  <c r="J77" i="20"/>
  <c r="J76" i="20"/>
  <c r="N74" i="20"/>
  <c r="L74" i="20"/>
  <c r="O74" i="20" s="1"/>
  <c r="L72" i="20"/>
  <c r="L71" i="20"/>
  <c r="N70" i="20"/>
  <c r="M70" i="20"/>
  <c r="M68" i="20" s="1"/>
  <c r="M66" i="20" s="1"/>
  <c r="O69" i="20"/>
  <c r="P67" i="20"/>
  <c r="N67" i="20"/>
  <c r="M67" i="20"/>
  <c r="L67" i="20"/>
  <c r="O67" i="20" s="1"/>
  <c r="J65" i="20"/>
  <c r="I65" i="20"/>
  <c r="J64" i="20"/>
  <c r="I64" i="20"/>
  <c r="N61" i="20"/>
  <c r="L61" i="20"/>
  <c r="O61" i="20" s="1"/>
  <c r="L59" i="20"/>
  <c r="L58" i="20"/>
  <c r="N57" i="20"/>
  <c r="M57" i="20"/>
  <c r="P54" i="20"/>
  <c r="N54" i="20"/>
  <c r="M54" i="20"/>
  <c r="L54" i="20"/>
  <c r="N49" i="20"/>
  <c r="L49" i="20"/>
  <c r="O49" i="20" s="1"/>
  <c r="L47" i="20"/>
  <c r="L46" i="20"/>
  <c r="N45" i="20"/>
  <c r="M45" i="20"/>
  <c r="M43" i="20" s="1"/>
  <c r="P42" i="20"/>
  <c r="N42" i="20"/>
  <c r="M42" i="20"/>
  <c r="L42" i="20"/>
  <c r="P36" i="20"/>
  <c r="O36" i="20"/>
  <c r="P35" i="20"/>
  <c r="O35" i="20"/>
  <c r="M34" i="20"/>
  <c r="P34" i="20" s="1"/>
  <c r="P33" i="20"/>
  <c r="M33" i="20"/>
  <c r="M32" i="20"/>
  <c r="P32" i="20" s="1"/>
  <c r="P31" i="20"/>
  <c r="M31" i="20"/>
  <c r="M30" i="20"/>
  <c r="P30" i="20" s="1"/>
  <c r="P29" i="20"/>
  <c r="M29" i="20"/>
  <c r="M28" i="20" s="1"/>
  <c r="P28" i="20" s="1"/>
  <c r="O25" i="20"/>
  <c r="N25" i="20"/>
  <c r="M25" i="20"/>
  <c r="P25" i="20" s="1"/>
  <c r="L25" i="20"/>
  <c r="N24" i="20"/>
  <c r="M24" i="20"/>
  <c r="P24" i="20" s="1"/>
  <c r="P23" i="20"/>
  <c r="N23" i="20"/>
  <c r="M23" i="20"/>
  <c r="N21" i="20"/>
  <c r="M21" i="20"/>
  <c r="L21" i="20"/>
  <c r="O21" i="20" s="1"/>
  <c r="O19" i="20"/>
  <c r="N19" i="20"/>
  <c r="L19" i="20"/>
  <c r="N15" i="20"/>
  <c r="M15" i="20"/>
  <c r="P15" i="20" s="1"/>
  <c r="L15" i="20"/>
  <c r="O15" i="20" s="1"/>
  <c r="P14" i="20"/>
  <c r="M14" i="20"/>
  <c r="P13" i="20"/>
  <c r="M13" i="20"/>
  <c r="J635" i="19"/>
  <c r="I635" i="19"/>
  <c r="J634" i="19"/>
  <c r="I634" i="19"/>
  <c r="J633" i="19"/>
  <c r="I633" i="19"/>
  <c r="K633" i="19" s="1"/>
  <c r="J632" i="19"/>
  <c r="I632" i="19"/>
  <c r="K632" i="19" s="1"/>
  <c r="J631" i="19"/>
  <c r="I631" i="19"/>
  <c r="J630" i="19"/>
  <c r="I630" i="19"/>
  <c r="J629" i="19"/>
  <c r="I629" i="19"/>
  <c r="J628" i="19"/>
  <c r="I628" i="19"/>
  <c r="J626" i="19"/>
  <c r="I626" i="19"/>
  <c r="J625" i="19"/>
  <c r="I625" i="19"/>
  <c r="J624" i="19"/>
  <c r="I624" i="19"/>
  <c r="J623" i="19"/>
  <c r="I623" i="19"/>
  <c r="J622" i="19"/>
  <c r="I622" i="19"/>
  <c r="J621" i="19"/>
  <c r="I621" i="19"/>
  <c r="J620" i="19"/>
  <c r="I620" i="19"/>
  <c r="K625" i="19" s="1"/>
  <c r="J619" i="19"/>
  <c r="I619" i="19"/>
  <c r="J618" i="19"/>
  <c r="I618" i="19"/>
  <c r="J617" i="19"/>
  <c r="I617" i="19"/>
  <c r="J616" i="19"/>
  <c r="I616" i="19"/>
  <c r="J615" i="19"/>
  <c r="I615" i="19"/>
  <c r="J614" i="19"/>
  <c r="I614" i="19"/>
  <c r="J613" i="19"/>
  <c r="I613" i="19"/>
  <c r="J612" i="19"/>
  <c r="I612" i="19"/>
  <c r="J611" i="19"/>
  <c r="I611" i="19"/>
  <c r="J610" i="19"/>
  <c r="J609" i="19"/>
  <c r="J608" i="19"/>
  <c r="J607" i="19"/>
  <c r="N605" i="19"/>
  <c r="N604" i="19"/>
  <c r="N603" i="19"/>
  <c r="N602" i="19"/>
  <c r="N601" i="19"/>
  <c r="L601" i="19"/>
  <c r="N600" i="19"/>
  <c r="L600" i="19"/>
  <c r="O600" i="19" s="1"/>
  <c r="N599" i="19"/>
  <c r="L599" i="19"/>
  <c r="N598" i="19"/>
  <c r="L598" i="19"/>
  <c r="O598" i="19" s="1"/>
  <c r="N597" i="19"/>
  <c r="L597" i="19"/>
  <c r="J597" i="19"/>
  <c r="I597" i="19"/>
  <c r="J596" i="19"/>
  <c r="I596" i="19"/>
  <c r="K596" i="19" s="1"/>
  <c r="J595" i="19"/>
  <c r="I595" i="19"/>
  <c r="K595" i="19" s="1"/>
  <c r="J594" i="19"/>
  <c r="I594" i="19"/>
  <c r="K594" i="19" s="1"/>
  <c r="J593" i="19"/>
  <c r="I593" i="19"/>
  <c r="K593" i="19" s="1"/>
  <c r="J592" i="19"/>
  <c r="I592" i="19"/>
  <c r="K592" i="19" s="1"/>
  <c r="J591" i="19"/>
  <c r="I591" i="19"/>
  <c r="K591" i="19" s="1"/>
  <c r="J590" i="19"/>
  <c r="I590" i="19"/>
  <c r="K590" i="19" s="1"/>
  <c r="J589" i="19"/>
  <c r="I589" i="19"/>
  <c r="K589" i="19" s="1"/>
  <c r="N588" i="19"/>
  <c r="N587" i="19"/>
  <c r="N586" i="19"/>
  <c r="N585" i="19"/>
  <c r="N584" i="19"/>
  <c r="L584" i="19"/>
  <c r="O584" i="19" s="1"/>
  <c r="N583" i="19"/>
  <c r="L583" i="19"/>
  <c r="O583" i="19" s="1"/>
  <c r="N582" i="19"/>
  <c r="L582" i="19"/>
  <c r="O582" i="19" s="1"/>
  <c r="N581" i="19"/>
  <c r="L581" i="19"/>
  <c r="O581" i="19" s="1"/>
  <c r="N580" i="19"/>
  <c r="L580" i="19"/>
  <c r="O580" i="19" s="1"/>
  <c r="J580" i="19"/>
  <c r="I580" i="19"/>
  <c r="K580" i="19" s="1"/>
  <c r="J579" i="19"/>
  <c r="I579" i="19"/>
  <c r="K579" i="19" s="1"/>
  <c r="J578" i="19"/>
  <c r="I578" i="19"/>
  <c r="K578" i="19" s="1"/>
  <c r="J577" i="19"/>
  <c r="I577" i="19"/>
  <c r="K577" i="19" s="1"/>
  <c r="J576" i="19"/>
  <c r="I576" i="19"/>
  <c r="K576" i="19" s="1"/>
  <c r="J575" i="19"/>
  <c r="I575" i="19"/>
  <c r="J573" i="19"/>
  <c r="I573" i="19"/>
  <c r="N572" i="19"/>
  <c r="N571" i="19"/>
  <c r="N570" i="19"/>
  <c r="N569" i="19"/>
  <c r="N568" i="19"/>
  <c r="L568" i="19"/>
  <c r="N567" i="19"/>
  <c r="L567" i="19"/>
  <c r="O567" i="19" s="1"/>
  <c r="N566" i="19"/>
  <c r="L566" i="19"/>
  <c r="N565" i="19"/>
  <c r="L565" i="19"/>
  <c r="O565" i="19" s="1"/>
  <c r="N564" i="19"/>
  <c r="L564" i="19"/>
  <c r="J564" i="19"/>
  <c r="I564" i="19"/>
  <c r="J561" i="19"/>
  <c r="I561" i="19"/>
  <c r="K561" i="19" s="1"/>
  <c r="J560" i="19"/>
  <c r="I560" i="19"/>
  <c r="K560" i="19" s="1"/>
  <c r="N559" i="19"/>
  <c r="N558" i="19"/>
  <c r="N557" i="19"/>
  <c r="N556" i="19"/>
  <c r="N555" i="19"/>
  <c r="L555" i="19"/>
  <c r="O555" i="19" s="1"/>
  <c r="N554" i="19"/>
  <c r="L554" i="19"/>
  <c r="O554" i="19" s="1"/>
  <c r="N553" i="19"/>
  <c r="L553" i="19"/>
  <c r="N552" i="19"/>
  <c r="L552" i="19"/>
  <c r="O552" i="19" s="1"/>
  <c r="N551" i="19"/>
  <c r="L551" i="19"/>
  <c r="O551" i="19" s="1"/>
  <c r="J551" i="19"/>
  <c r="I551" i="19"/>
  <c r="K551" i="19" s="1"/>
  <c r="J550" i="19"/>
  <c r="J549" i="19"/>
  <c r="J548" i="19"/>
  <c r="I548" i="19"/>
  <c r="K548" i="19" s="1"/>
  <c r="J547" i="19"/>
  <c r="I547" i="19"/>
  <c r="J546" i="19"/>
  <c r="J545" i="19"/>
  <c r="J544" i="19"/>
  <c r="J543" i="19"/>
  <c r="N541" i="19"/>
  <c r="N540" i="19"/>
  <c r="N539" i="19"/>
  <c r="N538" i="19"/>
  <c r="N537" i="19"/>
  <c r="L537" i="19"/>
  <c r="N536" i="19"/>
  <c r="L536" i="19"/>
  <c r="O536" i="19" s="1"/>
  <c r="N535" i="19"/>
  <c r="L535" i="19"/>
  <c r="N534" i="19"/>
  <c r="L534" i="19"/>
  <c r="O534" i="19" s="1"/>
  <c r="N533" i="19"/>
  <c r="L533" i="19"/>
  <c r="J533" i="19"/>
  <c r="I533" i="19"/>
  <c r="J532" i="19"/>
  <c r="I532" i="19"/>
  <c r="J531" i="19"/>
  <c r="I531" i="19"/>
  <c r="J530" i="19"/>
  <c r="I530" i="19"/>
  <c r="J529" i="19"/>
  <c r="I529" i="19"/>
  <c r="J528" i="19"/>
  <c r="I528" i="19"/>
  <c r="J527" i="19"/>
  <c r="I527" i="19"/>
  <c r="J526" i="19"/>
  <c r="I526" i="19"/>
  <c r="J525" i="19"/>
  <c r="I525" i="19"/>
  <c r="J524" i="19"/>
  <c r="I524" i="19"/>
  <c r="J523" i="19"/>
  <c r="I523" i="19"/>
  <c r="J522" i="19"/>
  <c r="I522" i="19"/>
  <c r="J521" i="19"/>
  <c r="I521" i="19"/>
  <c r="J520" i="19"/>
  <c r="I520" i="19"/>
  <c r="J519" i="19"/>
  <c r="I519" i="19"/>
  <c r="J518" i="19"/>
  <c r="I518" i="19"/>
  <c r="J517" i="19"/>
  <c r="I517" i="19"/>
  <c r="J516" i="19"/>
  <c r="I516" i="19"/>
  <c r="J515" i="19"/>
  <c r="I515" i="19"/>
  <c r="K515" i="19" s="1"/>
  <c r="J514" i="19"/>
  <c r="I514" i="19"/>
  <c r="K514" i="19" s="1"/>
  <c r="J513" i="19"/>
  <c r="I513" i="19"/>
  <c r="K513" i="19" s="1"/>
  <c r="J512" i="19"/>
  <c r="I512" i="19"/>
  <c r="K512" i="19" s="1"/>
  <c r="J511" i="19"/>
  <c r="I511" i="19"/>
  <c r="K511" i="19" s="1"/>
  <c r="J510" i="19"/>
  <c r="I510" i="19"/>
  <c r="K510" i="19" s="1"/>
  <c r="J509" i="19"/>
  <c r="I509" i="19"/>
  <c r="K509" i="19" s="1"/>
  <c r="J508" i="19"/>
  <c r="I508" i="19"/>
  <c r="K508" i="19" s="1"/>
  <c r="J507" i="19"/>
  <c r="I507" i="19"/>
  <c r="K507" i="19" s="1"/>
  <c r="J506" i="19"/>
  <c r="I506" i="19"/>
  <c r="K506" i="19" s="1"/>
  <c r="J505" i="19"/>
  <c r="I505" i="19"/>
  <c r="K505" i="19" s="1"/>
  <c r="J504" i="19"/>
  <c r="I504" i="19"/>
  <c r="K504" i="19" s="1"/>
  <c r="J503" i="19"/>
  <c r="I503" i="19"/>
  <c r="K503" i="19" s="1"/>
  <c r="J502" i="19"/>
  <c r="I502" i="19"/>
  <c r="K502" i="19" s="1"/>
  <c r="J501" i="19"/>
  <c r="I501" i="19"/>
  <c r="K501" i="19" s="1"/>
  <c r="J500" i="19"/>
  <c r="I500" i="19"/>
  <c r="K500" i="19" s="1"/>
  <c r="J499" i="19"/>
  <c r="I499" i="19"/>
  <c r="J498" i="19"/>
  <c r="I498" i="19"/>
  <c r="J497" i="19"/>
  <c r="I497" i="19"/>
  <c r="J496" i="19"/>
  <c r="I496" i="19"/>
  <c r="K496" i="19" s="1"/>
  <c r="J495" i="19"/>
  <c r="I495" i="19"/>
  <c r="K495" i="19" s="1"/>
  <c r="J494" i="19"/>
  <c r="I494" i="19"/>
  <c r="K494" i="19" s="1"/>
  <c r="J493" i="19"/>
  <c r="I493" i="19"/>
  <c r="K493" i="19" s="1"/>
  <c r="J492" i="19"/>
  <c r="I492" i="19"/>
  <c r="K492" i="19" s="1"/>
  <c r="J491" i="19"/>
  <c r="I491" i="19"/>
  <c r="K491" i="19" s="1"/>
  <c r="J490" i="19"/>
  <c r="I490" i="19"/>
  <c r="K490" i="19" s="1"/>
  <c r="J489" i="19"/>
  <c r="I489" i="19"/>
  <c r="K489" i="19" s="1"/>
  <c r="J488" i="19"/>
  <c r="I488" i="19"/>
  <c r="K488" i="19" s="1"/>
  <c r="J487" i="19"/>
  <c r="I487" i="19"/>
  <c r="K487" i="19" s="1"/>
  <c r="J486" i="19"/>
  <c r="I486" i="19"/>
  <c r="K486" i="19" s="1"/>
  <c r="J485" i="19"/>
  <c r="I485" i="19"/>
  <c r="K485" i="19" s="1"/>
  <c r="J484" i="19"/>
  <c r="I484" i="19"/>
  <c r="K484" i="19" s="1"/>
  <c r="J483" i="19"/>
  <c r="I483" i="19"/>
  <c r="K483" i="19" s="1"/>
  <c r="J482" i="19"/>
  <c r="I482" i="19"/>
  <c r="J481" i="19"/>
  <c r="I481" i="19"/>
  <c r="J480" i="19"/>
  <c r="I480" i="19"/>
  <c r="K480" i="19" s="1"/>
  <c r="J479" i="19"/>
  <c r="I479" i="19"/>
  <c r="K479" i="19" s="1"/>
  <c r="J478" i="19"/>
  <c r="I478" i="19"/>
  <c r="K478" i="19" s="1"/>
  <c r="J477" i="19"/>
  <c r="I477" i="19"/>
  <c r="K477" i="19" s="1"/>
  <c r="J476" i="19"/>
  <c r="I476" i="19"/>
  <c r="K476" i="19" s="1"/>
  <c r="J475" i="19"/>
  <c r="I475" i="19"/>
  <c r="K475" i="19" s="1"/>
  <c r="J474" i="19"/>
  <c r="I474" i="19"/>
  <c r="J473" i="19"/>
  <c r="I473" i="19"/>
  <c r="J472" i="19"/>
  <c r="I472" i="19"/>
  <c r="K472" i="19" s="1"/>
  <c r="J471" i="19"/>
  <c r="I471" i="19"/>
  <c r="K471" i="19" s="1"/>
  <c r="J470" i="19"/>
  <c r="I470" i="19"/>
  <c r="K470" i="19" s="1"/>
  <c r="J469" i="19"/>
  <c r="I469" i="19"/>
  <c r="K469" i="19" s="1"/>
  <c r="J468" i="19"/>
  <c r="I468" i="19"/>
  <c r="K468" i="19" s="1"/>
  <c r="J467" i="19"/>
  <c r="I467" i="19"/>
  <c r="K467" i="19" s="1"/>
  <c r="J466" i="19"/>
  <c r="I466" i="19"/>
  <c r="J465" i="19"/>
  <c r="I465" i="19"/>
  <c r="J464" i="19"/>
  <c r="I464" i="19"/>
  <c r="N463" i="19"/>
  <c r="N462" i="19"/>
  <c r="N461" i="19"/>
  <c r="N460" i="19"/>
  <c r="N459" i="19"/>
  <c r="L459" i="19"/>
  <c r="N458" i="19"/>
  <c r="L458" i="19"/>
  <c r="O458" i="19" s="1"/>
  <c r="N457" i="19"/>
  <c r="L457" i="19"/>
  <c r="N456" i="19"/>
  <c r="L456" i="19"/>
  <c r="O456" i="19" s="1"/>
  <c r="N455" i="19"/>
  <c r="L455" i="19"/>
  <c r="J455" i="19"/>
  <c r="I455" i="19"/>
  <c r="J454" i="19"/>
  <c r="J453" i="19"/>
  <c r="J452" i="19"/>
  <c r="I452" i="19"/>
  <c r="K452" i="19" s="1"/>
  <c r="J451" i="19"/>
  <c r="I451" i="19"/>
  <c r="K451" i="19" s="1"/>
  <c r="J450" i="19"/>
  <c r="I450" i="19"/>
  <c r="J449" i="19"/>
  <c r="I449" i="19"/>
  <c r="J448" i="19"/>
  <c r="J447" i="19"/>
  <c r="J446" i="19"/>
  <c r="J445" i="19"/>
  <c r="N443" i="19"/>
  <c r="N442" i="19"/>
  <c r="N441" i="19"/>
  <c r="N440" i="19"/>
  <c r="N439" i="19"/>
  <c r="L439" i="19"/>
  <c r="N438" i="19"/>
  <c r="L438" i="19"/>
  <c r="O438" i="19" s="1"/>
  <c r="N437" i="19"/>
  <c r="L437" i="19"/>
  <c r="N436" i="19"/>
  <c r="L436" i="19"/>
  <c r="O436" i="19" s="1"/>
  <c r="N435" i="19"/>
  <c r="L435" i="19"/>
  <c r="J435" i="19"/>
  <c r="I435" i="19"/>
  <c r="J434" i="19"/>
  <c r="J433" i="19"/>
  <c r="J432" i="19"/>
  <c r="I432" i="19"/>
  <c r="J431" i="19"/>
  <c r="I431" i="19"/>
  <c r="J430" i="19"/>
  <c r="I430" i="19"/>
  <c r="J429" i="19"/>
  <c r="I429" i="19"/>
  <c r="J428" i="19"/>
  <c r="I428" i="19"/>
  <c r="J427" i="19"/>
  <c r="I427" i="19"/>
  <c r="J426" i="19"/>
  <c r="I426" i="19"/>
  <c r="J425" i="19"/>
  <c r="I425" i="19"/>
  <c r="J424" i="19"/>
  <c r="I424" i="19"/>
  <c r="J423" i="19"/>
  <c r="I423" i="19"/>
  <c r="J422" i="19"/>
  <c r="I422" i="19"/>
  <c r="J421" i="19"/>
  <c r="I421" i="19"/>
  <c r="J420" i="19"/>
  <c r="I420" i="19"/>
  <c r="J419" i="19"/>
  <c r="I419" i="19"/>
  <c r="J418" i="19"/>
  <c r="I418" i="19"/>
  <c r="J417" i="19"/>
  <c r="I417" i="19"/>
  <c r="J416" i="19"/>
  <c r="I416" i="19"/>
  <c r="J415" i="19"/>
  <c r="J414" i="19"/>
  <c r="J413" i="19"/>
  <c r="J412" i="19"/>
  <c r="N410" i="19"/>
  <c r="N409" i="19"/>
  <c r="N408" i="19"/>
  <c r="N407" i="19"/>
  <c r="N406" i="19"/>
  <c r="L406" i="19"/>
  <c r="N405" i="19"/>
  <c r="L405" i="19"/>
  <c r="O405" i="19" s="1"/>
  <c r="N404" i="19"/>
  <c r="L404" i="19"/>
  <c r="N403" i="19"/>
  <c r="L403" i="19"/>
  <c r="O403" i="19" s="1"/>
  <c r="J402" i="19"/>
  <c r="I402" i="19"/>
  <c r="N401" i="19"/>
  <c r="L401" i="19"/>
  <c r="J401" i="19"/>
  <c r="I401" i="19"/>
  <c r="J400" i="19"/>
  <c r="J399" i="19"/>
  <c r="J398" i="19"/>
  <c r="I398" i="19"/>
  <c r="J397" i="19"/>
  <c r="I397" i="19"/>
  <c r="J396" i="19"/>
  <c r="I396" i="19"/>
  <c r="J394" i="19"/>
  <c r="J393" i="19"/>
  <c r="J392" i="19"/>
  <c r="J391" i="19"/>
  <c r="N389" i="19"/>
  <c r="N388" i="19"/>
  <c r="N387" i="19"/>
  <c r="N386" i="19"/>
  <c r="N385" i="19"/>
  <c r="L385" i="19"/>
  <c r="N384" i="19"/>
  <c r="L384" i="19"/>
  <c r="O384" i="19" s="1"/>
  <c r="N383" i="19"/>
  <c r="L383" i="19"/>
  <c r="N382" i="19"/>
  <c r="L382" i="19"/>
  <c r="J381" i="19"/>
  <c r="I381" i="19"/>
  <c r="N380" i="19"/>
  <c r="L380" i="19"/>
  <c r="J380" i="19"/>
  <c r="I380" i="19"/>
  <c r="J379" i="19"/>
  <c r="J378" i="19"/>
  <c r="J377" i="19"/>
  <c r="I377" i="19"/>
  <c r="J376" i="19"/>
  <c r="I376" i="19"/>
  <c r="J375" i="19"/>
  <c r="I375" i="19"/>
  <c r="J374" i="19"/>
  <c r="I374" i="19"/>
  <c r="J373" i="19"/>
  <c r="I373" i="19"/>
  <c r="K373" i="19" s="1"/>
  <c r="J372" i="19"/>
  <c r="I372" i="19"/>
  <c r="J371" i="19"/>
  <c r="I371" i="19"/>
  <c r="K371" i="19" s="1"/>
  <c r="J370" i="19"/>
  <c r="I370" i="19"/>
  <c r="J369" i="19"/>
  <c r="I369" i="19"/>
  <c r="J368" i="19"/>
  <c r="I368" i="19"/>
  <c r="J367" i="19"/>
  <c r="J366" i="19"/>
  <c r="J365" i="19"/>
  <c r="I365" i="19"/>
  <c r="K365" i="19" s="1"/>
  <c r="J364" i="19"/>
  <c r="J363" i="19"/>
  <c r="J362" i="19"/>
  <c r="J361" i="19"/>
  <c r="J360" i="19"/>
  <c r="N358" i="19"/>
  <c r="N357" i="19"/>
  <c r="N356" i="19"/>
  <c r="N355" i="19"/>
  <c r="N354" i="19"/>
  <c r="L354" i="19"/>
  <c r="N353" i="19"/>
  <c r="L353" i="19"/>
  <c r="N352" i="19"/>
  <c r="L352" i="19"/>
  <c r="N351" i="19"/>
  <c r="L351" i="19"/>
  <c r="O351" i="19" s="1"/>
  <c r="J350" i="19"/>
  <c r="I350" i="19"/>
  <c r="N349" i="19"/>
  <c r="L349" i="19"/>
  <c r="J349" i="19"/>
  <c r="I349" i="19"/>
  <c r="N347" i="19"/>
  <c r="L347" i="19"/>
  <c r="J346" i="19"/>
  <c r="I346" i="19"/>
  <c r="K346" i="19" s="1"/>
  <c r="J345" i="19"/>
  <c r="I345" i="19"/>
  <c r="J344" i="19"/>
  <c r="I344" i="19"/>
  <c r="K344" i="19" s="1"/>
  <c r="J343" i="19"/>
  <c r="I343" i="19"/>
  <c r="J342" i="19"/>
  <c r="I342" i="19"/>
  <c r="K342" i="19" s="1"/>
  <c r="J341" i="19"/>
  <c r="I341" i="19"/>
  <c r="J340" i="19"/>
  <c r="I340" i="19"/>
  <c r="J339" i="19"/>
  <c r="I339" i="19"/>
  <c r="K339" i="19" s="1"/>
  <c r="N337" i="19"/>
  <c r="L337" i="19"/>
  <c r="M337" i="19" s="1"/>
  <c r="M26" i="19" s="1"/>
  <c r="M16" i="19" s="1"/>
  <c r="L335" i="19"/>
  <c r="L334" i="19"/>
  <c r="N333" i="19"/>
  <c r="M333" i="19"/>
  <c r="O332" i="19"/>
  <c r="P330" i="19"/>
  <c r="O330" i="19"/>
  <c r="N330" i="19"/>
  <c r="M330" i="19"/>
  <c r="L330" i="19"/>
  <c r="J328" i="19"/>
  <c r="I328" i="19"/>
  <c r="J326" i="19"/>
  <c r="J325" i="19"/>
  <c r="J324" i="19"/>
  <c r="I324" i="19"/>
  <c r="K324" i="19" s="1"/>
  <c r="J323" i="19"/>
  <c r="J322" i="19"/>
  <c r="J321" i="19"/>
  <c r="J320" i="19"/>
  <c r="N318" i="19"/>
  <c r="L318" i="19"/>
  <c r="O318" i="19" s="1"/>
  <c r="L316" i="19"/>
  <c r="L315" i="19"/>
  <c r="N314" i="19"/>
  <c r="M314" i="19"/>
  <c r="P314" i="19" s="1"/>
  <c r="O313" i="19"/>
  <c r="P311" i="19"/>
  <c r="O311" i="19"/>
  <c r="N311" i="19"/>
  <c r="M311" i="19"/>
  <c r="L311" i="19"/>
  <c r="J309" i="19"/>
  <c r="I309" i="19"/>
  <c r="K309" i="19" s="1"/>
  <c r="J308" i="19"/>
  <c r="J307" i="19"/>
  <c r="J306" i="19"/>
  <c r="I306" i="19"/>
  <c r="K306" i="19" s="1"/>
  <c r="J304" i="19"/>
  <c r="I304" i="19"/>
  <c r="K304" i="19" s="1"/>
  <c r="J303" i="19"/>
  <c r="J302" i="19"/>
  <c r="J301" i="19"/>
  <c r="J300" i="19"/>
  <c r="N298" i="19"/>
  <c r="L298" i="19"/>
  <c r="O298" i="19" s="1"/>
  <c r="L296" i="19"/>
  <c r="L295" i="19"/>
  <c r="N294" i="19"/>
  <c r="M294" i="19"/>
  <c r="O293" i="19"/>
  <c r="P291" i="19"/>
  <c r="O291" i="19"/>
  <c r="N291" i="19"/>
  <c r="M291" i="19"/>
  <c r="L291" i="19"/>
  <c r="J289" i="19"/>
  <c r="I289" i="19"/>
  <c r="K289" i="19" s="1"/>
  <c r="J287" i="19"/>
  <c r="J286" i="19"/>
  <c r="J285" i="19"/>
  <c r="I285" i="19"/>
  <c r="J284" i="19"/>
  <c r="J283" i="19"/>
  <c r="J282" i="19"/>
  <c r="J281" i="19"/>
  <c r="N279" i="19"/>
  <c r="L279" i="19"/>
  <c r="O279" i="19" s="1"/>
  <c r="L277" i="19"/>
  <c r="L276" i="19"/>
  <c r="N275" i="19"/>
  <c r="M275" i="19"/>
  <c r="O274" i="19"/>
  <c r="P272" i="19"/>
  <c r="O272" i="19"/>
  <c r="N272" i="19"/>
  <c r="M272" i="19"/>
  <c r="L272" i="19"/>
  <c r="J270" i="19"/>
  <c r="I270" i="19"/>
  <c r="J269" i="19"/>
  <c r="J268" i="19"/>
  <c r="J267" i="19"/>
  <c r="I267" i="19"/>
  <c r="K267" i="19" s="1"/>
  <c r="J266" i="19"/>
  <c r="I266" i="19"/>
  <c r="K266" i="19" s="1"/>
  <c r="J265" i="19"/>
  <c r="I265" i="19"/>
  <c r="K265" i="19" s="1"/>
  <c r="J264" i="19"/>
  <c r="I264" i="19"/>
  <c r="K264" i="19" s="1"/>
  <c r="J263" i="19"/>
  <c r="J262" i="19"/>
  <c r="J261" i="19"/>
  <c r="J260" i="19"/>
  <c r="N258" i="19"/>
  <c r="L258" i="19"/>
  <c r="O258" i="19" s="1"/>
  <c r="L256" i="19"/>
  <c r="L255" i="19"/>
  <c r="N254" i="19"/>
  <c r="M254" i="19"/>
  <c r="O253" i="19"/>
  <c r="O251" i="19"/>
  <c r="N251" i="19"/>
  <c r="M251" i="19"/>
  <c r="P251" i="19" s="1"/>
  <c r="L251" i="19"/>
  <c r="J249" i="19"/>
  <c r="I249" i="19"/>
  <c r="K249" i="19" s="1"/>
  <c r="J246" i="19"/>
  <c r="J245" i="19"/>
  <c r="J244" i="19"/>
  <c r="I244" i="19"/>
  <c r="K244" i="19" s="1"/>
  <c r="J243" i="19"/>
  <c r="J242" i="19"/>
  <c r="J241" i="19"/>
  <c r="J240" i="19"/>
  <c r="J238" i="19"/>
  <c r="I238" i="19"/>
  <c r="K238" i="19" s="1"/>
  <c r="J237" i="19"/>
  <c r="J236" i="19"/>
  <c r="J235" i="19"/>
  <c r="I235" i="19"/>
  <c r="J234" i="19"/>
  <c r="J233" i="19"/>
  <c r="J232" i="19"/>
  <c r="J231" i="19"/>
  <c r="J229" i="19"/>
  <c r="I229" i="19"/>
  <c r="N228" i="19"/>
  <c r="L228" i="19"/>
  <c r="O228" i="19" s="1"/>
  <c r="L226" i="19"/>
  <c r="L225" i="19"/>
  <c r="N224" i="19"/>
  <c r="M224" i="19"/>
  <c r="O223" i="19"/>
  <c r="P221" i="19"/>
  <c r="N221" i="19"/>
  <c r="M221" i="19"/>
  <c r="L221" i="19"/>
  <c r="J219" i="19"/>
  <c r="I219" i="19"/>
  <c r="J218" i="19"/>
  <c r="J217" i="19"/>
  <c r="J216" i="19"/>
  <c r="I216" i="19"/>
  <c r="K216" i="19" s="1"/>
  <c r="J215" i="19"/>
  <c r="I215" i="19"/>
  <c r="K215" i="19" s="1"/>
  <c r="J213" i="19"/>
  <c r="I213" i="19"/>
  <c r="K213" i="19" s="1"/>
  <c r="J212" i="19"/>
  <c r="J211" i="19"/>
  <c r="J210" i="19"/>
  <c r="J209" i="19"/>
  <c r="J204" i="19"/>
  <c r="I204" i="19"/>
  <c r="K204" i="19" s="1"/>
  <c r="J203" i="19"/>
  <c r="J202" i="19"/>
  <c r="J201" i="19"/>
  <c r="I201" i="19"/>
  <c r="K201" i="19" s="1"/>
  <c r="J200" i="19"/>
  <c r="I200" i="19"/>
  <c r="J199" i="19"/>
  <c r="I199" i="19"/>
  <c r="J197" i="19"/>
  <c r="J196" i="19"/>
  <c r="J195" i="19"/>
  <c r="J194" i="19"/>
  <c r="J189" i="19"/>
  <c r="I189" i="19"/>
  <c r="J188" i="19"/>
  <c r="J187" i="19"/>
  <c r="J186" i="19"/>
  <c r="I186" i="19"/>
  <c r="J185" i="19"/>
  <c r="I185" i="19"/>
  <c r="J184" i="19"/>
  <c r="J183" i="19"/>
  <c r="J182" i="19"/>
  <c r="J181" i="19"/>
  <c r="J176" i="19"/>
  <c r="I176" i="19"/>
  <c r="J175" i="19"/>
  <c r="J174" i="19"/>
  <c r="J173" i="19"/>
  <c r="I173" i="19"/>
  <c r="J172" i="19"/>
  <c r="J171" i="19"/>
  <c r="J170" i="19"/>
  <c r="J169" i="19"/>
  <c r="J164" i="19"/>
  <c r="I164" i="19"/>
  <c r="J163" i="19"/>
  <c r="J162" i="19"/>
  <c r="J161" i="19"/>
  <c r="J160" i="19"/>
  <c r="J159" i="19"/>
  <c r="J158" i="19"/>
  <c r="I158" i="19"/>
  <c r="J157" i="19"/>
  <c r="J156" i="19"/>
  <c r="J155" i="19"/>
  <c r="J154" i="19"/>
  <c r="J149" i="19"/>
  <c r="I149" i="19"/>
  <c r="N148" i="19"/>
  <c r="L148" i="19"/>
  <c r="O148" i="19" s="1"/>
  <c r="L146" i="19"/>
  <c r="L145" i="19"/>
  <c r="N144" i="19"/>
  <c r="M144" i="19"/>
  <c r="O143" i="19"/>
  <c r="O141" i="19"/>
  <c r="N141" i="19"/>
  <c r="M141" i="19"/>
  <c r="P141" i="19" s="1"/>
  <c r="L141" i="19"/>
  <c r="J138" i="19"/>
  <c r="I138" i="19"/>
  <c r="K138" i="19" s="1"/>
  <c r="J135" i="19"/>
  <c r="J134" i="19"/>
  <c r="J133" i="19"/>
  <c r="I133" i="19"/>
  <c r="K133" i="19" s="1"/>
  <c r="J132" i="19"/>
  <c r="I132" i="19"/>
  <c r="K132" i="19" s="1"/>
  <c r="J131" i="19"/>
  <c r="J130" i="19"/>
  <c r="J129" i="19"/>
  <c r="J128" i="19"/>
  <c r="N126" i="19"/>
  <c r="L126" i="19"/>
  <c r="O126" i="19" s="1"/>
  <c r="L124" i="19"/>
  <c r="L123" i="19"/>
  <c r="N122" i="19"/>
  <c r="M122" i="19"/>
  <c r="O121" i="19"/>
  <c r="P119" i="19"/>
  <c r="N119" i="19"/>
  <c r="M119" i="19"/>
  <c r="L119" i="19"/>
  <c r="O119" i="19" s="1"/>
  <c r="J117" i="19"/>
  <c r="I117" i="19"/>
  <c r="K117" i="19" s="1"/>
  <c r="J115" i="19"/>
  <c r="J114" i="19"/>
  <c r="J113" i="19"/>
  <c r="I113" i="19"/>
  <c r="K113" i="19" s="1"/>
  <c r="J112" i="19"/>
  <c r="I112" i="19"/>
  <c r="K112" i="19" s="1"/>
  <c r="J111" i="19"/>
  <c r="I111" i="19"/>
  <c r="K111" i="19" s="1"/>
  <c r="J110" i="19"/>
  <c r="I110" i="19"/>
  <c r="K110" i="19" s="1"/>
  <c r="J109" i="19"/>
  <c r="I109" i="19"/>
  <c r="K109" i="19" s="1"/>
  <c r="J108" i="19"/>
  <c r="I108" i="19"/>
  <c r="K108" i="19" s="1"/>
  <c r="J107" i="19"/>
  <c r="J106" i="19"/>
  <c r="J105" i="19"/>
  <c r="J104" i="19"/>
  <c r="N102" i="19"/>
  <c r="L102" i="19"/>
  <c r="O102" i="19" s="1"/>
  <c r="L100" i="19"/>
  <c r="L99" i="19"/>
  <c r="N98" i="19"/>
  <c r="M98" i="19"/>
  <c r="M96" i="19" s="1"/>
  <c r="P96" i="19" s="1"/>
  <c r="O97" i="19"/>
  <c r="N95" i="19"/>
  <c r="M95" i="19"/>
  <c r="L95" i="19"/>
  <c r="O95" i="19" s="1"/>
  <c r="J93" i="19"/>
  <c r="I93" i="19"/>
  <c r="K93" i="19" s="1"/>
  <c r="J92" i="19"/>
  <c r="I92" i="19"/>
  <c r="K92" i="19" s="1"/>
  <c r="J90" i="19"/>
  <c r="J89" i="19"/>
  <c r="J88" i="19"/>
  <c r="I88" i="19"/>
  <c r="K88" i="19" s="1"/>
  <c r="J87" i="19"/>
  <c r="I87" i="19"/>
  <c r="K87" i="19" s="1"/>
  <c r="J86" i="19"/>
  <c r="I86" i="19"/>
  <c r="K86" i="19" s="1"/>
  <c r="J85" i="19"/>
  <c r="I85" i="19"/>
  <c r="J84" i="19"/>
  <c r="I84" i="19"/>
  <c r="J83" i="19"/>
  <c r="I83" i="19"/>
  <c r="K83" i="19" s="1"/>
  <c r="J82" i="19"/>
  <c r="I82" i="19"/>
  <c r="K82" i="19" s="1"/>
  <c r="J81" i="19"/>
  <c r="I81" i="19"/>
  <c r="J80" i="19"/>
  <c r="I80" i="19"/>
  <c r="J79" i="19"/>
  <c r="J78" i="19"/>
  <c r="J77" i="19"/>
  <c r="J76" i="19"/>
  <c r="N74" i="19"/>
  <c r="L74" i="19"/>
  <c r="O74" i="19" s="1"/>
  <c r="L72" i="19"/>
  <c r="L71" i="19"/>
  <c r="N70" i="19"/>
  <c r="M70" i="19"/>
  <c r="O69" i="19"/>
  <c r="N67" i="19"/>
  <c r="M67" i="19"/>
  <c r="P67" i="19" s="1"/>
  <c r="L67" i="19"/>
  <c r="O67" i="19" s="1"/>
  <c r="J65" i="19"/>
  <c r="I65" i="19"/>
  <c r="J64" i="19"/>
  <c r="I64" i="19"/>
  <c r="N61" i="19"/>
  <c r="L61" i="19"/>
  <c r="O61" i="19" s="1"/>
  <c r="L59" i="19"/>
  <c r="L58" i="19"/>
  <c r="N57" i="19"/>
  <c r="M57" i="19"/>
  <c r="N54" i="19"/>
  <c r="M54" i="19"/>
  <c r="L54" i="19"/>
  <c r="N49" i="19"/>
  <c r="L49" i="19"/>
  <c r="O49" i="19" s="1"/>
  <c r="L47" i="19"/>
  <c r="L46" i="19"/>
  <c r="N45" i="19"/>
  <c r="M45" i="19"/>
  <c r="M43" i="19" s="1"/>
  <c r="N42" i="19"/>
  <c r="M42" i="19"/>
  <c r="L42" i="19"/>
  <c r="O42" i="19" s="1"/>
  <c r="P36" i="19"/>
  <c r="O36" i="19"/>
  <c r="P35" i="19"/>
  <c r="O35" i="19"/>
  <c r="P34" i="19"/>
  <c r="M34" i="19"/>
  <c r="M33" i="19"/>
  <c r="P33" i="19" s="1"/>
  <c r="P32" i="19"/>
  <c r="M32" i="19"/>
  <c r="P31" i="19"/>
  <c r="M31" i="19"/>
  <c r="M29" i="19" s="1"/>
  <c r="P29" i="19" s="1"/>
  <c r="M30" i="19"/>
  <c r="P30" i="19" s="1"/>
  <c r="M28" i="19"/>
  <c r="P28" i="19" s="1"/>
  <c r="O25" i="19"/>
  <c r="N25" i="19"/>
  <c r="N15" i="19" s="1"/>
  <c r="M25" i="19"/>
  <c r="M15" i="19" s="1"/>
  <c r="P15" i="19" s="1"/>
  <c r="L25" i="19"/>
  <c r="N24" i="19"/>
  <c r="M24" i="19"/>
  <c r="P24" i="19" s="1"/>
  <c r="P23" i="19"/>
  <c r="N23" i="19"/>
  <c r="M23" i="19"/>
  <c r="P21" i="19"/>
  <c r="O21" i="19"/>
  <c r="N21" i="19"/>
  <c r="M21" i="19"/>
  <c r="L21" i="19"/>
  <c r="L19" i="19"/>
  <c r="O19" i="19" s="1"/>
  <c r="L15" i="19"/>
  <c r="O15" i="19" s="1"/>
  <c r="M14" i="19"/>
  <c r="P14" i="19" s="1"/>
  <c r="M11" i="19"/>
  <c r="M9" i="19" s="1"/>
  <c r="J635" i="18"/>
  <c r="I635" i="18"/>
  <c r="J634" i="18"/>
  <c r="I634" i="18"/>
  <c r="J633" i="18"/>
  <c r="I633" i="18"/>
  <c r="K633" i="18" s="1"/>
  <c r="J632" i="18"/>
  <c r="I632" i="18"/>
  <c r="K632" i="18" s="1"/>
  <c r="J631" i="18"/>
  <c r="I631" i="18"/>
  <c r="J630" i="18"/>
  <c r="I630" i="18"/>
  <c r="J629" i="18"/>
  <c r="I629" i="18"/>
  <c r="J628" i="18"/>
  <c r="I628" i="18"/>
  <c r="J626" i="18"/>
  <c r="I626" i="18"/>
  <c r="J625" i="18"/>
  <c r="I625" i="18"/>
  <c r="J624" i="18"/>
  <c r="I624" i="18"/>
  <c r="J623" i="18"/>
  <c r="I623" i="18"/>
  <c r="J622" i="18"/>
  <c r="I622" i="18"/>
  <c r="J621" i="18"/>
  <c r="I621" i="18"/>
  <c r="J620" i="18"/>
  <c r="I620" i="18"/>
  <c r="K623" i="18" s="1"/>
  <c r="J619" i="18"/>
  <c r="I619" i="18"/>
  <c r="J618" i="18"/>
  <c r="I618" i="18"/>
  <c r="J617" i="18"/>
  <c r="I617" i="18"/>
  <c r="J616" i="18"/>
  <c r="I616" i="18"/>
  <c r="J615" i="18"/>
  <c r="I615" i="18"/>
  <c r="J614" i="18"/>
  <c r="I614" i="18"/>
  <c r="J613" i="18"/>
  <c r="I613" i="18"/>
  <c r="J612" i="18"/>
  <c r="I612" i="18"/>
  <c r="J611" i="18"/>
  <c r="I611" i="18"/>
  <c r="J610" i="18"/>
  <c r="J609" i="18"/>
  <c r="J608" i="18"/>
  <c r="J607" i="18"/>
  <c r="N605" i="18"/>
  <c r="N604" i="18"/>
  <c r="N603" i="18"/>
  <c r="N602" i="18"/>
  <c r="N601" i="18"/>
  <c r="L601" i="18"/>
  <c r="N600" i="18"/>
  <c r="L600" i="18"/>
  <c r="O600" i="18" s="1"/>
  <c r="N599" i="18"/>
  <c r="L599" i="18"/>
  <c r="N598" i="18"/>
  <c r="L598" i="18"/>
  <c r="O598" i="18" s="1"/>
  <c r="N597" i="18"/>
  <c r="L597" i="18"/>
  <c r="J597" i="18"/>
  <c r="I597" i="18"/>
  <c r="J596" i="18"/>
  <c r="I596" i="18"/>
  <c r="K596" i="18" s="1"/>
  <c r="J595" i="18"/>
  <c r="I595" i="18"/>
  <c r="J594" i="18"/>
  <c r="I594" i="18"/>
  <c r="K594" i="18" s="1"/>
  <c r="J593" i="18"/>
  <c r="I593" i="18"/>
  <c r="J592" i="18"/>
  <c r="I592" i="18"/>
  <c r="K592" i="18" s="1"/>
  <c r="J591" i="18"/>
  <c r="I591" i="18"/>
  <c r="J590" i="18"/>
  <c r="I590" i="18"/>
  <c r="K590" i="18" s="1"/>
  <c r="J589" i="18"/>
  <c r="I589" i="18"/>
  <c r="N588" i="18"/>
  <c r="N587" i="18"/>
  <c r="N586" i="18"/>
  <c r="N585" i="18"/>
  <c r="N584" i="18"/>
  <c r="L584" i="18"/>
  <c r="N583" i="18"/>
  <c r="L583" i="18"/>
  <c r="O583" i="18" s="1"/>
  <c r="N582" i="18"/>
  <c r="L582" i="18"/>
  <c r="N581" i="18"/>
  <c r="L581" i="18"/>
  <c r="O581" i="18" s="1"/>
  <c r="N580" i="18"/>
  <c r="L580" i="18"/>
  <c r="J580" i="18"/>
  <c r="I580" i="18"/>
  <c r="J579" i="18"/>
  <c r="I579" i="18"/>
  <c r="K579" i="18" s="1"/>
  <c r="J578" i="18"/>
  <c r="I578" i="18"/>
  <c r="K578" i="18" s="1"/>
  <c r="J577" i="18"/>
  <c r="I577" i="18"/>
  <c r="K577" i="18" s="1"/>
  <c r="J576" i="18"/>
  <c r="I576" i="18"/>
  <c r="K576" i="18" s="1"/>
  <c r="J575" i="18"/>
  <c r="I575" i="18"/>
  <c r="J573" i="18"/>
  <c r="I573" i="18"/>
  <c r="N572" i="18"/>
  <c r="N571" i="18"/>
  <c r="N570" i="18"/>
  <c r="N569" i="18"/>
  <c r="N568" i="18"/>
  <c r="L568" i="18"/>
  <c r="N567" i="18"/>
  <c r="L567" i="18"/>
  <c r="O567" i="18" s="1"/>
  <c r="N566" i="18"/>
  <c r="L566" i="18"/>
  <c r="N565" i="18"/>
  <c r="L565" i="18"/>
  <c r="O565" i="18" s="1"/>
  <c r="N564" i="18"/>
  <c r="L564" i="18"/>
  <c r="J564" i="18"/>
  <c r="I564" i="18"/>
  <c r="J561" i="18"/>
  <c r="I561" i="18"/>
  <c r="K561" i="18" s="1"/>
  <c r="J560" i="18"/>
  <c r="I560" i="18"/>
  <c r="N559" i="18"/>
  <c r="N558" i="18"/>
  <c r="N557" i="18"/>
  <c r="N556" i="18"/>
  <c r="N555" i="18"/>
  <c r="L555" i="18"/>
  <c r="N554" i="18"/>
  <c r="L554" i="18"/>
  <c r="O554" i="18" s="1"/>
  <c r="N553" i="18"/>
  <c r="L553" i="18"/>
  <c r="N552" i="18"/>
  <c r="L552" i="18"/>
  <c r="O552" i="18" s="1"/>
  <c r="N551" i="18"/>
  <c r="L551" i="18"/>
  <c r="J551" i="18"/>
  <c r="I551" i="18"/>
  <c r="J550" i="18"/>
  <c r="J549" i="18"/>
  <c r="J548" i="18"/>
  <c r="I548" i="18"/>
  <c r="K548" i="18" s="1"/>
  <c r="J547" i="18"/>
  <c r="I547" i="18"/>
  <c r="J546" i="18"/>
  <c r="J545" i="18"/>
  <c r="J544" i="18"/>
  <c r="J543" i="18"/>
  <c r="N541" i="18"/>
  <c r="N540" i="18"/>
  <c r="N539" i="18"/>
  <c r="N538" i="18"/>
  <c r="N537" i="18"/>
  <c r="L537" i="18"/>
  <c r="N536" i="18"/>
  <c r="L536" i="18"/>
  <c r="O536" i="18" s="1"/>
  <c r="N535" i="18"/>
  <c r="L535" i="18"/>
  <c r="N534" i="18"/>
  <c r="L534" i="18"/>
  <c r="O534" i="18" s="1"/>
  <c r="N533" i="18"/>
  <c r="L533" i="18"/>
  <c r="J533" i="18"/>
  <c r="I533" i="18"/>
  <c r="J532" i="18"/>
  <c r="I532" i="18"/>
  <c r="J531" i="18"/>
  <c r="I531" i="18"/>
  <c r="J530" i="18"/>
  <c r="I530" i="18"/>
  <c r="J529" i="18"/>
  <c r="I529" i="18"/>
  <c r="J528" i="18"/>
  <c r="I528" i="18"/>
  <c r="J527" i="18"/>
  <c r="I527" i="18"/>
  <c r="J526" i="18"/>
  <c r="I526" i="18"/>
  <c r="J525" i="18"/>
  <c r="I525" i="18"/>
  <c r="J524" i="18"/>
  <c r="I524" i="18"/>
  <c r="J523" i="18"/>
  <c r="I523" i="18"/>
  <c r="J522" i="18"/>
  <c r="I522" i="18"/>
  <c r="J521" i="18"/>
  <c r="I521" i="18"/>
  <c r="J520" i="18"/>
  <c r="I520" i="18"/>
  <c r="J519" i="18"/>
  <c r="I519" i="18"/>
  <c r="J518" i="18"/>
  <c r="I518" i="18"/>
  <c r="J517" i="18"/>
  <c r="I517" i="18"/>
  <c r="J516" i="18"/>
  <c r="I516" i="18"/>
  <c r="J515" i="18"/>
  <c r="I515" i="18"/>
  <c r="K515" i="18" s="1"/>
  <c r="J514" i="18"/>
  <c r="I514" i="18"/>
  <c r="K514" i="18" s="1"/>
  <c r="J513" i="18"/>
  <c r="I513" i="18"/>
  <c r="K513" i="18" s="1"/>
  <c r="J512" i="18"/>
  <c r="I512" i="18"/>
  <c r="K512" i="18" s="1"/>
  <c r="J511" i="18"/>
  <c r="I511" i="18"/>
  <c r="K511" i="18" s="1"/>
  <c r="J510" i="18"/>
  <c r="I510" i="18"/>
  <c r="K510" i="18" s="1"/>
  <c r="J509" i="18"/>
  <c r="I509" i="18"/>
  <c r="K509" i="18" s="1"/>
  <c r="J508" i="18"/>
  <c r="I508" i="18"/>
  <c r="K508" i="18" s="1"/>
  <c r="J507" i="18"/>
  <c r="I507" i="18"/>
  <c r="K507" i="18" s="1"/>
  <c r="J506" i="18"/>
  <c r="I506" i="18"/>
  <c r="K506" i="18" s="1"/>
  <c r="J505" i="18"/>
  <c r="I505" i="18"/>
  <c r="K505" i="18" s="1"/>
  <c r="J504" i="18"/>
  <c r="I504" i="18"/>
  <c r="K504" i="18" s="1"/>
  <c r="J503" i="18"/>
  <c r="I503" i="18"/>
  <c r="K503" i="18" s="1"/>
  <c r="J502" i="18"/>
  <c r="I502" i="18"/>
  <c r="K502" i="18" s="1"/>
  <c r="J501" i="18"/>
  <c r="I501" i="18"/>
  <c r="K501" i="18" s="1"/>
  <c r="J500" i="18"/>
  <c r="I500" i="18"/>
  <c r="K500" i="18" s="1"/>
  <c r="J499" i="18"/>
  <c r="I499" i="18"/>
  <c r="J498" i="18"/>
  <c r="I498" i="18"/>
  <c r="J497" i="18"/>
  <c r="I497" i="18"/>
  <c r="J496" i="18"/>
  <c r="I496" i="18"/>
  <c r="K496" i="18" s="1"/>
  <c r="J495" i="18"/>
  <c r="I495" i="18"/>
  <c r="K495" i="18" s="1"/>
  <c r="J494" i="18"/>
  <c r="I494" i="18"/>
  <c r="K494" i="18" s="1"/>
  <c r="J493" i="18"/>
  <c r="I493" i="18"/>
  <c r="K493" i="18" s="1"/>
  <c r="J492" i="18"/>
  <c r="I492" i="18"/>
  <c r="K492" i="18" s="1"/>
  <c r="J491" i="18"/>
  <c r="I491" i="18"/>
  <c r="K491" i="18" s="1"/>
  <c r="J490" i="18"/>
  <c r="I490" i="18"/>
  <c r="K490" i="18" s="1"/>
  <c r="J489" i="18"/>
  <c r="I489" i="18"/>
  <c r="K489" i="18" s="1"/>
  <c r="J488" i="18"/>
  <c r="I488" i="18"/>
  <c r="K488" i="18" s="1"/>
  <c r="J487" i="18"/>
  <c r="I487" i="18"/>
  <c r="K487" i="18" s="1"/>
  <c r="J486" i="18"/>
  <c r="I486" i="18"/>
  <c r="K486" i="18" s="1"/>
  <c r="J485" i="18"/>
  <c r="I485" i="18"/>
  <c r="K485" i="18" s="1"/>
  <c r="J484" i="18"/>
  <c r="I484" i="18"/>
  <c r="K484" i="18" s="1"/>
  <c r="J483" i="18"/>
  <c r="I483" i="18"/>
  <c r="K483" i="18" s="1"/>
  <c r="J482" i="18"/>
  <c r="I482" i="18"/>
  <c r="J481" i="18"/>
  <c r="I481" i="18"/>
  <c r="J480" i="18"/>
  <c r="I480" i="18"/>
  <c r="K480" i="18" s="1"/>
  <c r="J479" i="18"/>
  <c r="I479" i="18"/>
  <c r="K479" i="18" s="1"/>
  <c r="J478" i="18"/>
  <c r="I478" i="18"/>
  <c r="K478" i="18" s="1"/>
  <c r="J477" i="18"/>
  <c r="I477" i="18"/>
  <c r="K477" i="18" s="1"/>
  <c r="J476" i="18"/>
  <c r="I476" i="18"/>
  <c r="K476" i="18" s="1"/>
  <c r="J475" i="18"/>
  <c r="I475" i="18"/>
  <c r="K475" i="18" s="1"/>
  <c r="J474" i="18"/>
  <c r="I474" i="18"/>
  <c r="J473" i="18"/>
  <c r="I473" i="18"/>
  <c r="J472" i="18"/>
  <c r="I472" i="18"/>
  <c r="K472" i="18" s="1"/>
  <c r="J471" i="18"/>
  <c r="I471" i="18"/>
  <c r="K471" i="18" s="1"/>
  <c r="J470" i="18"/>
  <c r="I470" i="18"/>
  <c r="K470" i="18" s="1"/>
  <c r="J469" i="18"/>
  <c r="I469" i="18"/>
  <c r="K469" i="18" s="1"/>
  <c r="J468" i="18"/>
  <c r="I468" i="18"/>
  <c r="K468" i="18" s="1"/>
  <c r="J467" i="18"/>
  <c r="I467" i="18"/>
  <c r="K467" i="18" s="1"/>
  <c r="J466" i="18"/>
  <c r="I466" i="18"/>
  <c r="J465" i="18"/>
  <c r="I465" i="18"/>
  <c r="J464" i="18"/>
  <c r="I464" i="18"/>
  <c r="N463" i="18"/>
  <c r="N462" i="18"/>
  <c r="N461" i="18"/>
  <c r="N460" i="18"/>
  <c r="N459" i="18"/>
  <c r="L459" i="18"/>
  <c r="N458" i="18"/>
  <c r="L458" i="18"/>
  <c r="O458" i="18" s="1"/>
  <c r="N457" i="18"/>
  <c r="L457" i="18"/>
  <c r="N456" i="18"/>
  <c r="L456" i="18"/>
  <c r="O456" i="18" s="1"/>
  <c r="N455" i="18"/>
  <c r="L455" i="18"/>
  <c r="J455" i="18"/>
  <c r="I455" i="18"/>
  <c r="J454" i="18"/>
  <c r="J453" i="18"/>
  <c r="J452" i="18"/>
  <c r="I452" i="18"/>
  <c r="K452" i="18" s="1"/>
  <c r="J451" i="18"/>
  <c r="I451" i="18"/>
  <c r="K451" i="18" s="1"/>
  <c r="J450" i="18"/>
  <c r="I450" i="18"/>
  <c r="J449" i="18"/>
  <c r="I449" i="18"/>
  <c r="J448" i="18"/>
  <c r="J447" i="18"/>
  <c r="J446" i="18"/>
  <c r="J445" i="18"/>
  <c r="N443" i="18"/>
  <c r="N442" i="18"/>
  <c r="N441" i="18"/>
  <c r="N440" i="18"/>
  <c r="N439" i="18"/>
  <c r="L439" i="18"/>
  <c r="N438" i="18"/>
  <c r="L438" i="18"/>
  <c r="O438" i="18" s="1"/>
  <c r="N437" i="18"/>
  <c r="L437" i="18"/>
  <c r="N436" i="18"/>
  <c r="L436" i="18"/>
  <c r="O436" i="18" s="1"/>
  <c r="N435" i="18"/>
  <c r="L435" i="18"/>
  <c r="J435" i="18"/>
  <c r="I435" i="18"/>
  <c r="J434" i="18"/>
  <c r="J433" i="18"/>
  <c r="J432" i="18"/>
  <c r="I432" i="18"/>
  <c r="J431" i="18"/>
  <c r="I431" i="18"/>
  <c r="J430" i="18"/>
  <c r="I430" i="18"/>
  <c r="J429" i="18"/>
  <c r="I429" i="18"/>
  <c r="J428" i="18"/>
  <c r="I428" i="18"/>
  <c r="J427" i="18"/>
  <c r="I427" i="18"/>
  <c r="J426" i="18"/>
  <c r="I426" i="18"/>
  <c r="J425" i="18"/>
  <c r="I425" i="18"/>
  <c r="J424" i="18"/>
  <c r="I424" i="18"/>
  <c r="J423" i="18"/>
  <c r="I423" i="18"/>
  <c r="J422" i="18"/>
  <c r="I422" i="18"/>
  <c r="J421" i="18"/>
  <c r="I421" i="18"/>
  <c r="J420" i="18"/>
  <c r="I420" i="18"/>
  <c r="J419" i="18"/>
  <c r="I419" i="18"/>
  <c r="J418" i="18"/>
  <c r="I418" i="18"/>
  <c r="J417" i="18"/>
  <c r="I417" i="18"/>
  <c r="J416" i="18"/>
  <c r="I416" i="18"/>
  <c r="J415" i="18"/>
  <c r="J414" i="18"/>
  <c r="J413" i="18"/>
  <c r="J412" i="18"/>
  <c r="N410" i="18"/>
  <c r="N409" i="18"/>
  <c r="N408" i="18"/>
  <c r="N407" i="18"/>
  <c r="N406" i="18"/>
  <c r="L406" i="18"/>
  <c r="N405" i="18"/>
  <c r="L405" i="18"/>
  <c r="O405" i="18" s="1"/>
  <c r="N404" i="18"/>
  <c r="L404" i="18"/>
  <c r="N403" i="18"/>
  <c r="L403" i="18"/>
  <c r="J402" i="18"/>
  <c r="I402" i="18"/>
  <c r="N401" i="18"/>
  <c r="L401" i="18"/>
  <c r="J401" i="18"/>
  <c r="I401" i="18"/>
  <c r="J400" i="18"/>
  <c r="J399" i="18"/>
  <c r="J398" i="18"/>
  <c r="I398" i="18"/>
  <c r="J397" i="18"/>
  <c r="I397" i="18"/>
  <c r="J396" i="18"/>
  <c r="I396" i="18"/>
  <c r="J394" i="18"/>
  <c r="J393" i="18"/>
  <c r="J392" i="18"/>
  <c r="J391" i="18"/>
  <c r="N389" i="18"/>
  <c r="N388" i="18"/>
  <c r="N387" i="18"/>
  <c r="N386" i="18"/>
  <c r="N385" i="18"/>
  <c r="L385" i="18"/>
  <c r="N384" i="18"/>
  <c r="L384" i="18"/>
  <c r="O384" i="18" s="1"/>
  <c r="N383" i="18"/>
  <c r="L383" i="18"/>
  <c r="N382" i="18"/>
  <c r="L382" i="18"/>
  <c r="O382" i="18" s="1"/>
  <c r="J381" i="18"/>
  <c r="I381" i="18"/>
  <c r="N380" i="18"/>
  <c r="L380" i="18"/>
  <c r="J380" i="18"/>
  <c r="I380" i="18"/>
  <c r="J379" i="18"/>
  <c r="J378" i="18"/>
  <c r="J377" i="18"/>
  <c r="I377" i="18"/>
  <c r="J376" i="18"/>
  <c r="I376" i="18"/>
  <c r="J375" i="18"/>
  <c r="I375" i="18"/>
  <c r="J374" i="18"/>
  <c r="I374" i="18"/>
  <c r="J373" i="18"/>
  <c r="I373" i="18"/>
  <c r="K373" i="18" s="1"/>
  <c r="J372" i="18"/>
  <c r="I372" i="18"/>
  <c r="J371" i="18"/>
  <c r="I371" i="18"/>
  <c r="J370" i="18"/>
  <c r="I370" i="18"/>
  <c r="J369" i="18"/>
  <c r="I369" i="18"/>
  <c r="K369" i="18" s="1"/>
  <c r="J368" i="18"/>
  <c r="I368" i="18"/>
  <c r="J367" i="18"/>
  <c r="J366" i="18"/>
  <c r="J365" i="18"/>
  <c r="I365" i="18"/>
  <c r="K365" i="18" s="1"/>
  <c r="J364" i="18"/>
  <c r="J363" i="18"/>
  <c r="J362" i="18"/>
  <c r="J361" i="18"/>
  <c r="J360" i="18"/>
  <c r="N358" i="18"/>
  <c r="N357" i="18"/>
  <c r="N356" i="18"/>
  <c r="N355" i="18"/>
  <c r="N354" i="18"/>
  <c r="L354" i="18"/>
  <c r="N353" i="18"/>
  <c r="L353" i="18"/>
  <c r="N352" i="18"/>
  <c r="L352" i="18"/>
  <c r="N351" i="18"/>
  <c r="L351" i="18"/>
  <c r="O351" i="18" s="1"/>
  <c r="J350" i="18"/>
  <c r="I350" i="18"/>
  <c r="N349" i="18"/>
  <c r="L349" i="18"/>
  <c r="J349" i="18"/>
  <c r="I349" i="18"/>
  <c r="N347" i="18"/>
  <c r="L347" i="18"/>
  <c r="J346" i="18"/>
  <c r="I346" i="18"/>
  <c r="K346" i="18" s="1"/>
  <c r="J345" i="18"/>
  <c r="I345" i="18"/>
  <c r="J344" i="18"/>
  <c r="I344" i="18"/>
  <c r="K344" i="18" s="1"/>
  <c r="J343" i="18"/>
  <c r="I343" i="18"/>
  <c r="J342" i="18"/>
  <c r="I342" i="18"/>
  <c r="K342" i="18" s="1"/>
  <c r="J341" i="18"/>
  <c r="I341" i="18"/>
  <c r="J340" i="18"/>
  <c r="I340" i="18"/>
  <c r="J339" i="18"/>
  <c r="I339" i="18"/>
  <c r="K339" i="18" s="1"/>
  <c r="N337" i="18"/>
  <c r="L337" i="18"/>
  <c r="M337" i="18" s="1"/>
  <c r="L335" i="18"/>
  <c r="L334" i="18"/>
  <c r="N333" i="18"/>
  <c r="M333" i="18"/>
  <c r="O332" i="18"/>
  <c r="N330" i="18"/>
  <c r="M330" i="18"/>
  <c r="P330" i="18" s="1"/>
  <c r="L330" i="18"/>
  <c r="O330" i="18" s="1"/>
  <c r="J328" i="18"/>
  <c r="I328" i="18"/>
  <c r="J326" i="18"/>
  <c r="J325" i="18"/>
  <c r="J324" i="18"/>
  <c r="I324" i="18"/>
  <c r="K324" i="18" s="1"/>
  <c r="J323" i="18"/>
  <c r="J322" i="18"/>
  <c r="J321" i="18"/>
  <c r="J320" i="18"/>
  <c r="N318" i="18"/>
  <c r="L318" i="18"/>
  <c r="O318" i="18" s="1"/>
  <c r="L316" i="18"/>
  <c r="L315" i="18"/>
  <c r="N314" i="18"/>
  <c r="M314" i="18"/>
  <c r="M312" i="18" s="1"/>
  <c r="O313" i="18"/>
  <c r="P311" i="18"/>
  <c r="O311" i="18"/>
  <c r="N311" i="18"/>
  <c r="M311" i="18"/>
  <c r="L311" i="18"/>
  <c r="J309" i="18"/>
  <c r="I309" i="18"/>
  <c r="K309" i="18" s="1"/>
  <c r="J308" i="18"/>
  <c r="J307" i="18"/>
  <c r="J306" i="18"/>
  <c r="I306" i="18"/>
  <c r="K306" i="18" s="1"/>
  <c r="J304" i="18"/>
  <c r="I304" i="18"/>
  <c r="K304" i="18" s="1"/>
  <c r="J303" i="18"/>
  <c r="J302" i="18"/>
  <c r="J301" i="18"/>
  <c r="J300" i="18"/>
  <c r="N298" i="18"/>
  <c r="L298" i="18"/>
  <c r="O298" i="18" s="1"/>
  <c r="L296" i="18"/>
  <c r="L295" i="18"/>
  <c r="N294" i="18"/>
  <c r="M294" i="18"/>
  <c r="P294" i="18" s="1"/>
  <c r="O293" i="18"/>
  <c r="P291" i="18"/>
  <c r="N291" i="18"/>
  <c r="M291" i="18"/>
  <c r="L291" i="18"/>
  <c r="O291" i="18" s="1"/>
  <c r="J289" i="18"/>
  <c r="I289" i="18"/>
  <c r="K289" i="18" s="1"/>
  <c r="J287" i="18"/>
  <c r="J286" i="18"/>
  <c r="J285" i="18"/>
  <c r="I285" i="18"/>
  <c r="K285" i="18" s="1"/>
  <c r="J284" i="18"/>
  <c r="J283" i="18"/>
  <c r="J282" i="18"/>
  <c r="J281" i="18"/>
  <c r="N279" i="18"/>
  <c r="L279" i="18"/>
  <c r="O279" i="18" s="1"/>
  <c r="L277" i="18"/>
  <c r="L276" i="18"/>
  <c r="N275" i="18"/>
  <c r="M275" i="18"/>
  <c r="P275" i="18" s="1"/>
  <c r="O274" i="18"/>
  <c r="N272" i="18"/>
  <c r="M272" i="18"/>
  <c r="P272" i="18" s="1"/>
  <c r="L272" i="18"/>
  <c r="O272" i="18" s="1"/>
  <c r="J270" i="18"/>
  <c r="I270" i="18"/>
  <c r="K270" i="18" s="1"/>
  <c r="J269" i="18"/>
  <c r="J268" i="18"/>
  <c r="J267" i="18"/>
  <c r="I267" i="18"/>
  <c r="K267" i="18" s="1"/>
  <c r="J266" i="18"/>
  <c r="I266" i="18"/>
  <c r="K266" i="18" s="1"/>
  <c r="J265" i="18"/>
  <c r="I265" i="18"/>
  <c r="K265" i="18" s="1"/>
  <c r="J264" i="18"/>
  <c r="I264" i="18"/>
  <c r="K264" i="18" s="1"/>
  <c r="J263" i="18"/>
  <c r="J262" i="18"/>
  <c r="J261" i="18"/>
  <c r="J260" i="18"/>
  <c r="N258" i="18"/>
  <c r="L258" i="18"/>
  <c r="O258" i="18" s="1"/>
  <c r="L256" i="18"/>
  <c r="L255" i="18"/>
  <c r="N254" i="18"/>
  <c r="M254" i="18"/>
  <c r="M252" i="18" s="1"/>
  <c r="P252" i="18" s="1"/>
  <c r="O253" i="18"/>
  <c r="N251" i="18"/>
  <c r="M251" i="18"/>
  <c r="P251" i="18" s="1"/>
  <c r="L251" i="18"/>
  <c r="O251" i="18" s="1"/>
  <c r="J249" i="18"/>
  <c r="I249" i="18"/>
  <c r="K249" i="18" s="1"/>
  <c r="J246" i="18"/>
  <c r="J245" i="18"/>
  <c r="J244" i="18"/>
  <c r="I244" i="18"/>
  <c r="K244" i="18" s="1"/>
  <c r="J243" i="18"/>
  <c r="J242" i="18"/>
  <c r="J241" i="18"/>
  <c r="J240" i="18"/>
  <c r="J238" i="18"/>
  <c r="I238" i="18"/>
  <c r="K238" i="18" s="1"/>
  <c r="J237" i="18"/>
  <c r="J236" i="18"/>
  <c r="J235" i="18"/>
  <c r="I235" i="18"/>
  <c r="J234" i="18"/>
  <c r="J233" i="18"/>
  <c r="J232" i="18"/>
  <c r="J231" i="18"/>
  <c r="J229" i="18"/>
  <c r="I229" i="18"/>
  <c r="N228" i="18"/>
  <c r="L228" i="18"/>
  <c r="L226" i="18"/>
  <c r="L225" i="18"/>
  <c r="N224" i="18"/>
  <c r="M224" i="18"/>
  <c r="M222" i="18" s="1"/>
  <c r="O223" i="18"/>
  <c r="P221" i="18"/>
  <c r="O221" i="18"/>
  <c r="N221" i="18"/>
  <c r="M221" i="18"/>
  <c r="L221" i="18"/>
  <c r="J219" i="18"/>
  <c r="I219" i="18"/>
  <c r="J218" i="18"/>
  <c r="J217" i="18"/>
  <c r="J216" i="18"/>
  <c r="I216" i="18"/>
  <c r="K216" i="18" s="1"/>
  <c r="J215" i="18"/>
  <c r="I215" i="18"/>
  <c r="K215" i="18" s="1"/>
  <c r="J213" i="18"/>
  <c r="I213" i="18"/>
  <c r="K213" i="18" s="1"/>
  <c r="J212" i="18"/>
  <c r="J211" i="18"/>
  <c r="J210" i="18"/>
  <c r="J209" i="18"/>
  <c r="J204" i="18"/>
  <c r="I204" i="18"/>
  <c r="K204" i="18" s="1"/>
  <c r="J203" i="18"/>
  <c r="J202" i="18"/>
  <c r="J201" i="18"/>
  <c r="I201" i="18"/>
  <c r="J200" i="18"/>
  <c r="I200" i="18"/>
  <c r="J199" i="18"/>
  <c r="I199" i="18"/>
  <c r="J197" i="18"/>
  <c r="J196" i="18"/>
  <c r="J195" i="18"/>
  <c r="J194" i="18"/>
  <c r="J189" i="18"/>
  <c r="I189" i="18"/>
  <c r="J188" i="18"/>
  <c r="J187" i="18"/>
  <c r="J186" i="18"/>
  <c r="I186" i="18"/>
  <c r="J185" i="18"/>
  <c r="I185" i="18"/>
  <c r="J184" i="18"/>
  <c r="J183" i="18"/>
  <c r="J182" i="18"/>
  <c r="J181" i="18"/>
  <c r="J176" i="18"/>
  <c r="I176" i="18"/>
  <c r="J175" i="18"/>
  <c r="J174" i="18"/>
  <c r="J173" i="18"/>
  <c r="I173" i="18"/>
  <c r="J172" i="18"/>
  <c r="J171" i="18"/>
  <c r="J170" i="18"/>
  <c r="J169" i="18"/>
  <c r="J164" i="18"/>
  <c r="I164" i="18"/>
  <c r="J163" i="18"/>
  <c r="J162" i="18"/>
  <c r="J161" i="18"/>
  <c r="J160" i="18"/>
  <c r="J159" i="18"/>
  <c r="J158" i="18"/>
  <c r="I158" i="18"/>
  <c r="J157" i="18"/>
  <c r="J156" i="18"/>
  <c r="J155" i="18"/>
  <c r="J154" i="18"/>
  <c r="J149" i="18"/>
  <c r="I149" i="18"/>
  <c r="N148" i="18"/>
  <c r="L148" i="18"/>
  <c r="O148" i="18" s="1"/>
  <c r="L146" i="18"/>
  <c r="L145" i="18"/>
  <c r="N144" i="18"/>
  <c r="M144" i="18"/>
  <c r="M142" i="18" s="1"/>
  <c r="O143" i="18"/>
  <c r="N141" i="18"/>
  <c r="M141" i="18"/>
  <c r="P141" i="18" s="1"/>
  <c r="L141" i="18"/>
  <c r="O141" i="18" s="1"/>
  <c r="J138" i="18"/>
  <c r="I138" i="18"/>
  <c r="J135" i="18"/>
  <c r="J134" i="18"/>
  <c r="J133" i="18"/>
  <c r="I133" i="18"/>
  <c r="K133" i="18" s="1"/>
  <c r="J132" i="18"/>
  <c r="I132" i="18"/>
  <c r="K132" i="18" s="1"/>
  <c r="J131" i="18"/>
  <c r="J130" i="18"/>
  <c r="J129" i="18"/>
  <c r="J128" i="18"/>
  <c r="N126" i="18"/>
  <c r="L126" i="18"/>
  <c r="O126" i="18" s="1"/>
  <c r="L124" i="18"/>
  <c r="L123" i="18"/>
  <c r="N122" i="18"/>
  <c r="M122" i="18"/>
  <c r="P122" i="18" s="1"/>
  <c r="O121" i="18"/>
  <c r="N119" i="18"/>
  <c r="M119" i="18"/>
  <c r="P119" i="18" s="1"/>
  <c r="L119" i="18"/>
  <c r="O119" i="18" s="1"/>
  <c r="J117" i="18"/>
  <c r="I117" i="18"/>
  <c r="K117" i="18" s="1"/>
  <c r="J115" i="18"/>
  <c r="J114" i="18"/>
  <c r="J113" i="18"/>
  <c r="I113" i="18"/>
  <c r="K113" i="18" s="1"/>
  <c r="J112" i="18"/>
  <c r="I112" i="18"/>
  <c r="K112" i="18" s="1"/>
  <c r="J111" i="18"/>
  <c r="I111" i="18"/>
  <c r="K111" i="18" s="1"/>
  <c r="J110" i="18"/>
  <c r="I110" i="18"/>
  <c r="K110" i="18" s="1"/>
  <c r="J109" i="18"/>
  <c r="I109" i="18"/>
  <c r="K109" i="18" s="1"/>
  <c r="J108" i="18"/>
  <c r="I108" i="18"/>
  <c r="K108" i="18" s="1"/>
  <c r="J107" i="18"/>
  <c r="J106" i="18"/>
  <c r="J105" i="18"/>
  <c r="J104" i="18"/>
  <c r="N102" i="18"/>
  <c r="L102" i="18"/>
  <c r="O102" i="18" s="1"/>
  <c r="L100" i="18"/>
  <c r="L99" i="18"/>
  <c r="N98" i="18"/>
  <c r="M98" i="18"/>
  <c r="M96" i="18" s="1"/>
  <c r="P96" i="18" s="1"/>
  <c r="O97" i="18"/>
  <c r="P95" i="18"/>
  <c r="O95" i="18"/>
  <c r="N95" i="18"/>
  <c r="M95" i="18"/>
  <c r="L95" i="18"/>
  <c r="J93" i="18"/>
  <c r="I93" i="18"/>
  <c r="K93" i="18" s="1"/>
  <c r="J92" i="18"/>
  <c r="I92" i="18"/>
  <c r="K92" i="18" s="1"/>
  <c r="J90" i="18"/>
  <c r="J89" i="18"/>
  <c r="J88" i="18"/>
  <c r="I88" i="18"/>
  <c r="J87" i="18"/>
  <c r="I87" i="18"/>
  <c r="K87" i="18" s="1"/>
  <c r="J86" i="18"/>
  <c r="I86" i="18"/>
  <c r="K86" i="18" s="1"/>
  <c r="J85" i="18"/>
  <c r="I85" i="18"/>
  <c r="K85" i="18" s="1"/>
  <c r="J84" i="18"/>
  <c r="I84" i="18"/>
  <c r="K84" i="18" s="1"/>
  <c r="J83" i="18"/>
  <c r="I83" i="18"/>
  <c r="J82" i="18"/>
  <c r="I82" i="18"/>
  <c r="J81" i="18"/>
  <c r="I81" i="18"/>
  <c r="J80" i="18"/>
  <c r="I80" i="18"/>
  <c r="J79" i="18"/>
  <c r="J78" i="18"/>
  <c r="J77" i="18"/>
  <c r="J76" i="18"/>
  <c r="N74" i="18"/>
  <c r="L74" i="18"/>
  <c r="O74" i="18" s="1"/>
  <c r="L72" i="18"/>
  <c r="L71" i="18"/>
  <c r="N70" i="18"/>
  <c r="M70" i="18"/>
  <c r="O69" i="18"/>
  <c r="P67" i="18"/>
  <c r="N67" i="18"/>
  <c r="M67" i="18"/>
  <c r="L67" i="18"/>
  <c r="O67" i="18" s="1"/>
  <c r="J65" i="18"/>
  <c r="I65" i="18"/>
  <c r="J64" i="18"/>
  <c r="I64" i="18"/>
  <c r="N61" i="18"/>
  <c r="L61" i="18"/>
  <c r="O61" i="18" s="1"/>
  <c r="L59" i="18"/>
  <c r="L58" i="18"/>
  <c r="N57" i="18"/>
  <c r="M57" i="18"/>
  <c r="O54" i="18"/>
  <c r="N54" i="18"/>
  <c r="M54" i="18"/>
  <c r="P54" i="18" s="1"/>
  <c r="L54" i="18"/>
  <c r="N49" i="18"/>
  <c r="L49" i="18"/>
  <c r="L47" i="18"/>
  <c r="L46" i="18"/>
  <c r="N45" i="18"/>
  <c r="M45" i="18"/>
  <c r="N42" i="18"/>
  <c r="M42" i="18"/>
  <c r="P42" i="18" s="1"/>
  <c r="L42" i="18"/>
  <c r="O42" i="18" s="1"/>
  <c r="P36" i="18"/>
  <c r="O36" i="18"/>
  <c r="P35" i="18"/>
  <c r="O35" i="18"/>
  <c r="M34" i="18"/>
  <c r="P34" i="18" s="1"/>
  <c r="M33" i="18"/>
  <c r="P33" i="18" s="1"/>
  <c r="M32" i="18"/>
  <c r="P32" i="18" s="1"/>
  <c r="P31" i="18"/>
  <c r="M31" i="18"/>
  <c r="M29" i="18" s="1"/>
  <c r="M30" i="18"/>
  <c r="P30" i="18" s="1"/>
  <c r="O25" i="18"/>
  <c r="N25" i="18"/>
  <c r="M25" i="18"/>
  <c r="P25" i="18" s="1"/>
  <c r="L25" i="18"/>
  <c r="N24" i="18"/>
  <c r="M24" i="18"/>
  <c r="P24" i="18" s="1"/>
  <c r="N23" i="18"/>
  <c r="M23" i="18"/>
  <c r="P23" i="18" s="1"/>
  <c r="N21" i="18"/>
  <c r="M21" i="18"/>
  <c r="L21" i="18"/>
  <c r="N19" i="18"/>
  <c r="N15" i="18"/>
  <c r="L15" i="18"/>
  <c r="O15" i="18" s="1"/>
  <c r="P13" i="18"/>
  <c r="M13" i="18"/>
  <c r="J635" i="17"/>
  <c r="I635" i="17"/>
  <c r="J634" i="17"/>
  <c r="I634" i="17"/>
  <c r="J633" i="17"/>
  <c r="I633" i="17"/>
  <c r="J632" i="17"/>
  <c r="I632" i="17"/>
  <c r="J631" i="17"/>
  <c r="I631" i="17"/>
  <c r="J630" i="17"/>
  <c r="I630" i="17"/>
  <c r="J629" i="17"/>
  <c r="I629" i="17"/>
  <c r="J628" i="17"/>
  <c r="I628" i="17"/>
  <c r="J626" i="17"/>
  <c r="I626" i="17"/>
  <c r="J625" i="17"/>
  <c r="I625" i="17"/>
  <c r="J624" i="17"/>
  <c r="I624" i="17"/>
  <c r="J623" i="17"/>
  <c r="I623" i="17"/>
  <c r="J622" i="17"/>
  <c r="I622" i="17"/>
  <c r="J621" i="17"/>
  <c r="I621" i="17"/>
  <c r="J620" i="17"/>
  <c r="I620" i="17"/>
  <c r="K622" i="17" s="1"/>
  <c r="J619" i="17"/>
  <c r="I619" i="17"/>
  <c r="J618" i="17"/>
  <c r="I618" i="17"/>
  <c r="J617" i="17"/>
  <c r="I617" i="17"/>
  <c r="J616" i="17"/>
  <c r="I616" i="17"/>
  <c r="J615" i="17"/>
  <c r="I615" i="17"/>
  <c r="J614" i="17"/>
  <c r="I614" i="17"/>
  <c r="J613" i="17"/>
  <c r="I613" i="17"/>
  <c r="J612" i="17"/>
  <c r="I612" i="17"/>
  <c r="J611" i="17"/>
  <c r="I611" i="17"/>
  <c r="J610" i="17"/>
  <c r="J609" i="17"/>
  <c r="J608" i="17"/>
  <c r="J607" i="17"/>
  <c r="N605" i="17"/>
  <c r="N604" i="17"/>
  <c r="N603" i="17"/>
  <c r="N602" i="17"/>
  <c r="N601" i="17"/>
  <c r="L601" i="17"/>
  <c r="N600" i="17"/>
  <c r="L600" i="17"/>
  <c r="O600" i="17" s="1"/>
  <c r="N599" i="17"/>
  <c r="L599" i="17"/>
  <c r="N598" i="17"/>
  <c r="L598" i="17"/>
  <c r="O598" i="17" s="1"/>
  <c r="N597" i="17"/>
  <c r="L597" i="17"/>
  <c r="J597" i="17"/>
  <c r="I597" i="17"/>
  <c r="J596" i="17"/>
  <c r="I596" i="17"/>
  <c r="K596" i="17" s="1"/>
  <c r="J595" i="17"/>
  <c r="I595" i="17"/>
  <c r="J594" i="17"/>
  <c r="I594" i="17"/>
  <c r="K594" i="17" s="1"/>
  <c r="J593" i="17"/>
  <c r="I593" i="17"/>
  <c r="J592" i="17"/>
  <c r="I592" i="17"/>
  <c r="K592" i="17" s="1"/>
  <c r="J591" i="17"/>
  <c r="I591" i="17"/>
  <c r="J590" i="17"/>
  <c r="I590" i="17"/>
  <c r="K590" i="17" s="1"/>
  <c r="J589" i="17"/>
  <c r="I589" i="17"/>
  <c r="N588" i="17"/>
  <c r="N587" i="17"/>
  <c r="N586" i="17"/>
  <c r="N585" i="17"/>
  <c r="N584" i="17"/>
  <c r="L584" i="17"/>
  <c r="N583" i="17"/>
  <c r="L583" i="17"/>
  <c r="O583" i="17" s="1"/>
  <c r="N582" i="17"/>
  <c r="L582" i="17"/>
  <c r="N581" i="17"/>
  <c r="L581" i="17"/>
  <c r="O581" i="17" s="1"/>
  <c r="N580" i="17"/>
  <c r="L580" i="17"/>
  <c r="J580" i="17"/>
  <c r="I580" i="17"/>
  <c r="J579" i="17"/>
  <c r="I579" i="17"/>
  <c r="K579" i="17" s="1"/>
  <c r="J578" i="17"/>
  <c r="I578" i="17"/>
  <c r="K578" i="17" s="1"/>
  <c r="J577" i="17"/>
  <c r="I577" i="17"/>
  <c r="K577" i="17" s="1"/>
  <c r="J576" i="17"/>
  <c r="I576" i="17"/>
  <c r="K576" i="17" s="1"/>
  <c r="J575" i="17"/>
  <c r="I575" i="17"/>
  <c r="K575" i="17" s="1"/>
  <c r="J573" i="17"/>
  <c r="I573" i="17"/>
  <c r="N572" i="17"/>
  <c r="N571" i="17"/>
  <c r="N570" i="17"/>
  <c r="N569" i="17"/>
  <c r="N568" i="17"/>
  <c r="L568" i="17"/>
  <c r="N567" i="17"/>
  <c r="L567" i="17"/>
  <c r="O567" i="17" s="1"/>
  <c r="N566" i="17"/>
  <c r="L566" i="17"/>
  <c r="N565" i="17"/>
  <c r="L565" i="17"/>
  <c r="O565" i="17" s="1"/>
  <c r="N564" i="17"/>
  <c r="L564" i="17"/>
  <c r="J564" i="17"/>
  <c r="I564" i="17"/>
  <c r="J561" i="17"/>
  <c r="I561" i="17"/>
  <c r="K561" i="17" s="1"/>
  <c r="J560" i="17"/>
  <c r="I560" i="17"/>
  <c r="K560" i="17" s="1"/>
  <c r="N559" i="17"/>
  <c r="N558" i="17"/>
  <c r="N557" i="17"/>
  <c r="N556" i="17"/>
  <c r="N555" i="17"/>
  <c r="L555" i="17"/>
  <c r="O555" i="17" s="1"/>
  <c r="N554" i="17"/>
  <c r="L554" i="17"/>
  <c r="O554" i="17" s="1"/>
  <c r="N553" i="17"/>
  <c r="L553" i="17"/>
  <c r="O553" i="17" s="1"/>
  <c r="N552" i="17"/>
  <c r="L552" i="17"/>
  <c r="O552" i="17" s="1"/>
  <c r="N551" i="17"/>
  <c r="L551" i="17"/>
  <c r="O551" i="17" s="1"/>
  <c r="J551" i="17"/>
  <c r="I551" i="17"/>
  <c r="K551" i="17" s="1"/>
  <c r="J550" i="17"/>
  <c r="J549" i="17"/>
  <c r="J548" i="17"/>
  <c r="I548" i="17"/>
  <c r="K548" i="17" s="1"/>
  <c r="J547" i="17"/>
  <c r="I547" i="17"/>
  <c r="J546" i="17"/>
  <c r="J545" i="17"/>
  <c r="J544" i="17"/>
  <c r="J543" i="17"/>
  <c r="N541" i="17"/>
  <c r="N540" i="17"/>
  <c r="N539" i="17"/>
  <c r="N538" i="17"/>
  <c r="N537" i="17"/>
  <c r="L537" i="17"/>
  <c r="N536" i="17"/>
  <c r="L536" i="17"/>
  <c r="O536" i="17" s="1"/>
  <c r="N535" i="17"/>
  <c r="L535" i="17"/>
  <c r="N534" i="17"/>
  <c r="L534" i="17"/>
  <c r="O534" i="17" s="1"/>
  <c r="N533" i="17"/>
  <c r="L533" i="17"/>
  <c r="J533" i="17"/>
  <c r="I533" i="17"/>
  <c r="J532" i="17"/>
  <c r="I532" i="17"/>
  <c r="J531" i="17"/>
  <c r="I531" i="17"/>
  <c r="J530" i="17"/>
  <c r="I530" i="17"/>
  <c r="J529" i="17"/>
  <c r="I529" i="17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20" i="17"/>
  <c r="I520" i="17"/>
  <c r="J519" i="17"/>
  <c r="I519" i="17"/>
  <c r="J518" i="17"/>
  <c r="I518" i="17"/>
  <c r="J517" i="17"/>
  <c r="I517" i="17"/>
  <c r="J516" i="17"/>
  <c r="I516" i="17"/>
  <c r="J515" i="17"/>
  <c r="I515" i="17"/>
  <c r="K515" i="17" s="1"/>
  <c r="J514" i="17"/>
  <c r="I514" i="17"/>
  <c r="K514" i="17" s="1"/>
  <c r="J513" i="17"/>
  <c r="I513" i="17"/>
  <c r="K513" i="17" s="1"/>
  <c r="J512" i="17"/>
  <c r="I512" i="17"/>
  <c r="K512" i="17" s="1"/>
  <c r="J511" i="17"/>
  <c r="I511" i="17"/>
  <c r="K511" i="17" s="1"/>
  <c r="J510" i="17"/>
  <c r="I510" i="17"/>
  <c r="K510" i="17" s="1"/>
  <c r="J509" i="17"/>
  <c r="I509" i="17"/>
  <c r="K509" i="17" s="1"/>
  <c r="J508" i="17"/>
  <c r="I508" i="17"/>
  <c r="K508" i="17" s="1"/>
  <c r="J507" i="17"/>
  <c r="I507" i="17"/>
  <c r="K507" i="17" s="1"/>
  <c r="J506" i="17"/>
  <c r="I506" i="17"/>
  <c r="K506" i="17" s="1"/>
  <c r="J505" i="17"/>
  <c r="I505" i="17"/>
  <c r="K505" i="17" s="1"/>
  <c r="J504" i="17"/>
  <c r="I504" i="17"/>
  <c r="K504" i="17" s="1"/>
  <c r="J503" i="17"/>
  <c r="I503" i="17"/>
  <c r="K503" i="17" s="1"/>
  <c r="J502" i="17"/>
  <c r="I502" i="17"/>
  <c r="K502" i="17" s="1"/>
  <c r="J501" i="17"/>
  <c r="I501" i="17"/>
  <c r="K501" i="17" s="1"/>
  <c r="J500" i="17"/>
  <c r="I500" i="17"/>
  <c r="K500" i="17" s="1"/>
  <c r="J499" i="17"/>
  <c r="I499" i="17"/>
  <c r="J498" i="17"/>
  <c r="I498" i="17"/>
  <c r="J497" i="17"/>
  <c r="I497" i="17"/>
  <c r="J496" i="17"/>
  <c r="I496" i="17"/>
  <c r="K496" i="17" s="1"/>
  <c r="J495" i="17"/>
  <c r="I495" i="17"/>
  <c r="K495" i="17" s="1"/>
  <c r="J494" i="17"/>
  <c r="I494" i="17"/>
  <c r="K494" i="17" s="1"/>
  <c r="J493" i="17"/>
  <c r="I493" i="17"/>
  <c r="K493" i="17" s="1"/>
  <c r="J492" i="17"/>
  <c r="I492" i="17"/>
  <c r="K492" i="17" s="1"/>
  <c r="J491" i="17"/>
  <c r="I491" i="17"/>
  <c r="K491" i="17" s="1"/>
  <c r="J490" i="17"/>
  <c r="I490" i="17"/>
  <c r="K490" i="17" s="1"/>
  <c r="J489" i="17"/>
  <c r="I489" i="17"/>
  <c r="K489" i="17" s="1"/>
  <c r="J488" i="17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K484" i="17" s="1"/>
  <c r="J483" i="17"/>
  <c r="I483" i="17"/>
  <c r="K483" i="17" s="1"/>
  <c r="J482" i="17"/>
  <c r="I482" i="17"/>
  <c r="J481" i="17"/>
  <c r="I481" i="17"/>
  <c r="J480" i="17"/>
  <c r="I480" i="17"/>
  <c r="K480" i="17" s="1"/>
  <c r="J479" i="17"/>
  <c r="I479" i="17"/>
  <c r="K479" i="17" s="1"/>
  <c r="J478" i="17"/>
  <c r="I478" i="17"/>
  <c r="K478" i="17" s="1"/>
  <c r="J477" i="17"/>
  <c r="I477" i="17"/>
  <c r="K477" i="17" s="1"/>
  <c r="J476" i="17"/>
  <c r="I476" i="17"/>
  <c r="K476" i="17" s="1"/>
  <c r="J475" i="17"/>
  <c r="I475" i="17"/>
  <c r="K475" i="17" s="1"/>
  <c r="J474" i="17"/>
  <c r="I474" i="17"/>
  <c r="J473" i="17"/>
  <c r="I473" i="17"/>
  <c r="J472" i="17"/>
  <c r="I472" i="17"/>
  <c r="K472" i="17" s="1"/>
  <c r="J471" i="17"/>
  <c r="I471" i="17"/>
  <c r="K471" i="17" s="1"/>
  <c r="J470" i="17"/>
  <c r="I470" i="17"/>
  <c r="K470" i="17" s="1"/>
  <c r="J469" i="17"/>
  <c r="I469" i="17"/>
  <c r="K469" i="17" s="1"/>
  <c r="J468" i="17"/>
  <c r="I468" i="17"/>
  <c r="K468" i="17" s="1"/>
  <c r="J467" i="17"/>
  <c r="I467" i="17"/>
  <c r="K467" i="17" s="1"/>
  <c r="J466" i="17"/>
  <c r="I466" i="17"/>
  <c r="J465" i="17"/>
  <c r="I465" i="17"/>
  <c r="J464" i="17"/>
  <c r="I464" i="17"/>
  <c r="N463" i="17"/>
  <c r="N462" i="17"/>
  <c r="N461" i="17"/>
  <c r="N460" i="17"/>
  <c r="N459" i="17"/>
  <c r="L459" i="17"/>
  <c r="N458" i="17"/>
  <c r="L458" i="17"/>
  <c r="O458" i="17" s="1"/>
  <c r="N457" i="17"/>
  <c r="L457" i="17"/>
  <c r="N456" i="17"/>
  <c r="L456" i="17"/>
  <c r="O456" i="17" s="1"/>
  <c r="N455" i="17"/>
  <c r="L455" i="17"/>
  <c r="J455" i="17"/>
  <c r="I455" i="17"/>
  <c r="J454" i="17"/>
  <c r="J453" i="17"/>
  <c r="J452" i="17"/>
  <c r="I452" i="17"/>
  <c r="K452" i="17" s="1"/>
  <c r="J451" i="17"/>
  <c r="I451" i="17"/>
  <c r="K451" i="17" s="1"/>
  <c r="J450" i="17"/>
  <c r="I450" i="17"/>
  <c r="J449" i="17"/>
  <c r="I449" i="17"/>
  <c r="J448" i="17"/>
  <c r="J447" i="17"/>
  <c r="J446" i="17"/>
  <c r="J445" i="17"/>
  <c r="N443" i="17"/>
  <c r="N442" i="17"/>
  <c r="N441" i="17"/>
  <c r="N440" i="17"/>
  <c r="N439" i="17"/>
  <c r="L439" i="17"/>
  <c r="N438" i="17"/>
  <c r="L438" i="17"/>
  <c r="O438" i="17" s="1"/>
  <c r="N437" i="17"/>
  <c r="L437" i="17"/>
  <c r="N436" i="17"/>
  <c r="L436" i="17"/>
  <c r="O436" i="17" s="1"/>
  <c r="N435" i="17"/>
  <c r="L435" i="17"/>
  <c r="J435" i="17"/>
  <c r="I435" i="17"/>
  <c r="J434" i="17"/>
  <c r="J433" i="17"/>
  <c r="J432" i="17"/>
  <c r="I432" i="17"/>
  <c r="J431" i="17"/>
  <c r="I431" i="17"/>
  <c r="J430" i="17"/>
  <c r="I430" i="17"/>
  <c r="J429" i="17"/>
  <c r="I429" i="17"/>
  <c r="J428" i="17"/>
  <c r="I428" i="17"/>
  <c r="J427" i="17"/>
  <c r="I427" i="17"/>
  <c r="J426" i="17"/>
  <c r="I426" i="17"/>
  <c r="J425" i="17"/>
  <c r="I425" i="17"/>
  <c r="J424" i="17"/>
  <c r="I424" i="17"/>
  <c r="J423" i="17"/>
  <c r="I423" i="17"/>
  <c r="J422" i="17"/>
  <c r="I422" i="17"/>
  <c r="J421" i="17"/>
  <c r="I421" i="17"/>
  <c r="J420" i="17"/>
  <c r="I420" i="17"/>
  <c r="J419" i="17"/>
  <c r="I419" i="17"/>
  <c r="J418" i="17"/>
  <c r="I418" i="17"/>
  <c r="J417" i="17"/>
  <c r="I417" i="17"/>
  <c r="J416" i="17"/>
  <c r="I416" i="17"/>
  <c r="J415" i="17"/>
  <c r="J414" i="17"/>
  <c r="J413" i="17"/>
  <c r="J412" i="17"/>
  <c r="N410" i="17"/>
  <c r="N409" i="17"/>
  <c r="N408" i="17"/>
  <c r="N407" i="17"/>
  <c r="N406" i="17"/>
  <c r="L406" i="17"/>
  <c r="N405" i="17"/>
  <c r="L405" i="17"/>
  <c r="O405" i="17" s="1"/>
  <c r="N404" i="17"/>
  <c r="L404" i="17"/>
  <c r="N403" i="17"/>
  <c r="L403" i="17"/>
  <c r="O403" i="17" s="1"/>
  <c r="J402" i="17"/>
  <c r="I402" i="17"/>
  <c r="N401" i="17"/>
  <c r="L401" i="17"/>
  <c r="J401" i="17"/>
  <c r="I401" i="17"/>
  <c r="J400" i="17"/>
  <c r="J399" i="17"/>
  <c r="J398" i="17"/>
  <c r="I398" i="17"/>
  <c r="J397" i="17"/>
  <c r="I397" i="17"/>
  <c r="J396" i="17"/>
  <c r="I396" i="17"/>
  <c r="J394" i="17"/>
  <c r="J393" i="17"/>
  <c r="J392" i="17"/>
  <c r="J391" i="17"/>
  <c r="N389" i="17"/>
  <c r="N388" i="17"/>
  <c r="N387" i="17"/>
  <c r="N386" i="17"/>
  <c r="N385" i="17"/>
  <c r="L385" i="17"/>
  <c r="N384" i="17"/>
  <c r="L384" i="17"/>
  <c r="N383" i="17"/>
  <c r="L383" i="17"/>
  <c r="N382" i="17"/>
  <c r="L382" i="17"/>
  <c r="O382" i="17" s="1"/>
  <c r="J381" i="17"/>
  <c r="I381" i="17"/>
  <c r="N380" i="17"/>
  <c r="L380" i="17"/>
  <c r="J380" i="17"/>
  <c r="I380" i="17"/>
  <c r="J379" i="17"/>
  <c r="J378" i="17"/>
  <c r="J377" i="17"/>
  <c r="I377" i="17"/>
  <c r="J376" i="17"/>
  <c r="I376" i="17"/>
  <c r="J375" i="17"/>
  <c r="I375" i="17"/>
  <c r="J374" i="17"/>
  <c r="I374" i="17"/>
  <c r="J373" i="17"/>
  <c r="I373" i="17"/>
  <c r="K373" i="17" s="1"/>
  <c r="J372" i="17"/>
  <c r="I372" i="17"/>
  <c r="J371" i="17"/>
  <c r="I371" i="17"/>
  <c r="K371" i="17" s="1"/>
  <c r="J370" i="17"/>
  <c r="I370" i="17"/>
  <c r="J369" i="17"/>
  <c r="I369" i="17"/>
  <c r="K369" i="17" s="1"/>
  <c r="J368" i="17"/>
  <c r="I368" i="17"/>
  <c r="J367" i="17"/>
  <c r="J366" i="17"/>
  <c r="J365" i="17"/>
  <c r="I365" i="17"/>
  <c r="K365" i="17" s="1"/>
  <c r="J364" i="17"/>
  <c r="J363" i="17"/>
  <c r="J362" i="17"/>
  <c r="J361" i="17"/>
  <c r="J360" i="17"/>
  <c r="N358" i="17"/>
  <c r="N357" i="17"/>
  <c r="N356" i="17"/>
  <c r="N355" i="17"/>
  <c r="N354" i="17"/>
  <c r="L354" i="17"/>
  <c r="N353" i="17"/>
  <c r="L353" i="17"/>
  <c r="O353" i="17" s="1"/>
  <c r="N352" i="17"/>
  <c r="L352" i="17"/>
  <c r="N351" i="17"/>
  <c r="L351" i="17"/>
  <c r="J350" i="17"/>
  <c r="I350" i="17"/>
  <c r="N349" i="17"/>
  <c r="L349" i="17"/>
  <c r="J349" i="17"/>
  <c r="I349" i="17"/>
  <c r="N347" i="17"/>
  <c r="L347" i="17"/>
  <c r="J346" i="17"/>
  <c r="I346" i="17"/>
  <c r="K346" i="17" s="1"/>
  <c r="J345" i="17"/>
  <c r="I345" i="17"/>
  <c r="J344" i="17"/>
  <c r="I344" i="17"/>
  <c r="K344" i="17" s="1"/>
  <c r="J343" i="17"/>
  <c r="I343" i="17"/>
  <c r="J342" i="17"/>
  <c r="I342" i="17"/>
  <c r="K342" i="17" s="1"/>
  <c r="J341" i="17"/>
  <c r="I341" i="17"/>
  <c r="J340" i="17"/>
  <c r="I340" i="17"/>
  <c r="J339" i="17"/>
  <c r="I339" i="17"/>
  <c r="K339" i="17" s="1"/>
  <c r="N337" i="17"/>
  <c r="L337" i="17"/>
  <c r="L335" i="17"/>
  <c r="L334" i="17"/>
  <c r="N333" i="17"/>
  <c r="M333" i="17"/>
  <c r="O332" i="17"/>
  <c r="P330" i="17"/>
  <c r="O330" i="17"/>
  <c r="N330" i="17"/>
  <c r="M330" i="17"/>
  <c r="L330" i="17"/>
  <c r="J328" i="17"/>
  <c r="I328" i="17"/>
  <c r="J326" i="17"/>
  <c r="J325" i="17"/>
  <c r="J324" i="17"/>
  <c r="I324" i="17"/>
  <c r="K324" i="17" s="1"/>
  <c r="J323" i="17"/>
  <c r="J322" i="17"/>
  <c r="J321" i="17"/>
  <c r="J320" i="17"/>
  <c r="N318" i="17"/>
  <c r="L318" i="17"/>
  <c r="O318" i="17" s="1"/>
  <c r="L316" i="17"/>
  <c r="L315" i="17"/>
  <c r="N314" i="17"/>
  <c r="M314" i="17"/>
  <c r="P314" i="17" s="1"/>
  <c r="O313" i="17"/>
  <c r="O311" i="17"/>
  <c r="N311" i="17"/>
  <c r="M311" i="17"/>
  <c r="L311" i="17"/>
  <c r="J309" i="17"/>
  <c r="I309" i="17"/>
  <c r="K309" i="17" s="1"/>
  <c r="J308" i="17"/>
  <c r="J307" i="17"/>
  <c r="J306" i="17"/>
  <c r="I306" i="17"/>
  <c r="K306" i="17" s="1"/>
  <c r="J304" i="17"/>
  <c r="I304" i="17"/>
  <c r="K304" i="17" s="1"/>
  <c r="J303" i="17"/>
  <c r="J302" i="17"/>
  <c r="J301" i="17"/>
  <c r="J300" i="17"/>
  <c r="N298" i="17"/>
  <c r="L298" i="17"/>
  <c r="O298" i="17" s="1"/>
  <c r="L296" i="17"/>
  <c r="L295" i="17"/>
  <c r="N294" i="17"/>
  <c r="M294" i="17"/>
  <c r="O293" i="17"/>
  <c r="P291" i="17"/>
  <c r="O291" i="17"/>
  <c r="N291" i="17"/>
  <c r="M291" i="17"/>
  <c r="L291" i="17"/>
  <c r="J289" i="17"/>
  <c r="I289" i="17"/>
  <c r="K289" i="17" s="1"/>
  <c r="J287" i="17"/>
  <c r="J286" i="17"/>
  <c r="J285" i="17"/>
  <c r="I285" i="17"/>
  <c r="K285" i="17" s="1"/>
  <c r="J284" i="17"/>
  <c r="J283" i="17"/>
  <c r="J282" i="17"/>
  <c r="J281" i="17"/>
  <c r="N279" i="17"/>
  <c r="L279" i="17"/>
  <c r="O279" i="17" s="1"/>
  <c r="L277" i="17"/>
  <c r="L276" i="17"/>
  <c r="N275" i="17"/>
  <c r="M275" i="17"/>
  <c r="P275" i="17" s="1"/>
  <c r="O274" i="17"/>
  <c r="N272" i="17"/>
  <c r="M272" i="17"/>
  <c r="P272" i="17" s="1"/>
  <c r="L272" i="17"/>
  <c r="J270" i="17"/>
  <c r="I270" i="17"/>
  <c r="K270" i="17" s="1"/>
  <c r="J269" i="17"/>
  <c r="J268" i="17"/>
  <c r="J267" i="17"/>
  <c r="I267" i="17"/>
  <c r="J266" i="17"/>
  <c r="I266" i="17"/>
  <c r="J265" i="17"/>
  <c r="I265" i="17"/>
  <c r="J264" i="17"/>
  <c r="I264" i="17"/>
  <c r="J263" i="17"/>
  <c r="J262" i="17"/>
  <c r="J261" i="17"/>
  <c r="J260" i="17"/>
  <c r="N258" i="17"/>
  <c r="L258" i="17"/>
  <c r="O258" i="17" s="1"/>
  <c r="L256" i="17"/>
  <c r="L255" i="17"/>
  <c r="N254" i="17"/>
  <c r="M254" i="17"/>
  <c r="M252" i="17" s="1"/>
  <c r="O253" i="17"/>
  <c r="N251" i="17"/>
  <c r="M251" i="17"/>
  <c r="L251" i="17"/>
  <c r="O251" i="17" s="1"/>
  <c r="J249" i="17"/>
  <c r="I249" i="17"/>
  <c r="J246" i="17"/>
  <c r="J245" i="17"/>
  <c r="J244" i="17"/>
  <c r="I244" i="17"/>
  <c r="K244" i="17" s="1"/>
  <c r="J243" i="17"/>
  <c r="J242" i="17"/>
  <c r="J241" i="17"/>
  <c r="J240" i="17"/>
  <c r="J238" i="17"/>
  <c r="I238" i="17"/>
  <c r="K238" i="17" s="1"/>
  <c r="J237" i="17"/>
  <c r="J236" i="17"/>
  <c r="J235" i="17"/>
  <c r="I235" i="17"/>
  <c r="J234" i="17"/>
  <c r="J233" i="17"/>
  <c r="J232" i="17"/>
  <c r="J231" i="17"/>
  <c r="J229" i="17"/>
  <c r="I229" i="17"/>
  <c r="N228" i="17"/>
  <c r="L228" i="17"/>
  <c r="O228" i="17" s="1"/>
  <c r="L226" i="17"/>
  <c r="L225" i="17"/>
  <c r="N224" i="17"/>
  <c r="M224" i="17"/>
  <c r="O223" i="17"/>
  <c r="P221" i="17"/>
  <c r="O221" i="17"/>
  <c r="N221" i="17"/>
  <c r="M221" i="17"/>
  <c r="L221" i="17"/>
  <c r="J219" i="17"/>
  <c r="I219" i="17"/>
  <c r="J218" i="17"/>
  <c r="J217" i="17"/>
  <c r="J216" i="17"/>
  <c r="I216" i="17"/>
  <c r="K216" i="17" s="1"/>
  <c r="J215" i="17"/>
  <c r="I215" i="17"/>
  <c r="K215" i="17" s="1"/>
  <c r="J213" i="17"/>
  <c r="I213" i="17"/>
  <c r="K213" i="17" s="1"/>
  <c r="J212" i="17"/>
  <c r="J211" i="17"/>
  <c r="J210" i="17"/>
  <c r="J209" i="17"/>
  <c r="J204" i="17"/>
  <c r="I204" i="17"/>
  <c r="K204" i="17" s="1"/>
  <c r="J203" i="17"/>
  <c r="J202" i="17"/>
  <c r="J201" i="17"/>
  <c r="I201" i="17"/>
  <c r="K201" i="17" s="1"/>
  <c r="J200" i="17"/>
  <c r="I200" i="17"/>
  <c r="J199" i="17"/>
  <c r="I199" i="17"/>
  <c r="J197" i="17"/>
  <c r="J196" i="17"/>
  <c r="J195" i="17"/>
  <c r="J194" i="17"/>
  <c r="J189" i="17"/>
  <c r="I189" i="17"/>
  <c r="J188" i="17"/>
  <c r="J187" i="17"/>
  <c r="J186" i="17"/>
  <c r="I186" i="17"/>
  <c r="J185" i="17"/>
  <c r="I185" i="17"/>
  <c r="J184" i="17"/>
  <c r="J183" i="17"/>
  <c r="J182" i="17"/>
  <c r="J181" i="17"/>
  <c r="J176" i="17"/>
  <c r="I176" i="17"/>
  <c r="J175" i="17"/>
  <c r="J174" i="17"/>
  <c r="J173" i="17"/>
  <c r="I173" i="17"/>
  <c r="J172" i="17"/>
  <c r="J171" i="17"/>
  <c r="J170" i="17"/>
  <c r="J169" i="17"/>
  <c r="J164" i="17"/>
  <c r="I164" i="17"/>
  <c r="J163" i="17"/>
  <c r="J162" i="17"/>
  <c r="J161" i="17"/>
  <c r="J160" i="17"/>
  <c r="J159" i="17"/>
  <c r="J158" i="17"/>
  <c r="I158" i="17"/>
  <c r="J157" i="17"/>
  <c r="J156" i="17"/>
  <c r="J155" i="17"/>
  <c r="J154" i="17"/>
  <c r="J149" i="17"/>
  <c r="I149" i="17"/>
  <c r="N148" i="17"/>
  <c r="L148" i="17"/>
  <c r="O148" i="17" s="1"/>
  <c r="L146" i="17"/>
  <c r="L145" i="17"/>
  <c r="N144" i="17"/>
  <c r="M144" i="17"/>
  <c r="M142" i="17" s="1"/>
  <c r="O143" i="17"/>
  <c r="N141" i="17"/>
  <c r="M141" i="17"/>
  <c r="L141" i="17"/>
  <c r="O141" i="17" s="1"/>
  <c r="J138" i="17"/>
  <c r="I138" i="17"/>
  <c r="K138" i="17" s="1"/>
  <c r="J135" i="17"/>
  <c r="J134" i="17"/>
  <c r="J133" i="17"/>
  <c r="I133" i="17"/>
  <c r="J132" i="17"/>
  <c r="I132" i="17"/>
  <c r="J131" i="17"/>
  <c r="J130" i="17"/>
  <c r="J129" i="17"/>
  <c r="J128" i="17"/>
  <c r="N126" i="17"/>
  <c r="L126" i="17"/>
  <c r="O126" i="17" s="1"/>
  <c r="L124" i="17"/>
  <c r="L123" i="17"/>
  <c r="N122" i="17"/>
  <c r="M122" i="17"/>
  <c r="O121" i="17"/>
  <c r="N119" i="17"/>
  <c r="M119" i="17"/>
  <c r="P119" i="17" s="1"/>
  <c r="L119" i="17"/>
  <c r="J117" i="17"/>
  <c r="I117" i="17"/>
  <c r="J115" i="17"/>
  <c r="J114" i="17"/>
  <c r="J113" i="17"/>
  <c r="I113" i="17"/>
  <c r="J112" i="17"/>
  <c r="I112" i="17"/>
  <c r="J111" i="17"/>
  <c r="I111" i="17"/>
  <c r="J110" i="17"/>
  <c r="I110" i="17"/>
  <c r="J109" i="17"/>
  <c r="I109" i="17"/>
  <c r="J108" i="17"/>
  <c r="I108" i="17"/>
  <c r="J107" i="17"/>
  <c r="J106" i="17"/>
  <c r="J105" i="17"/>
  <c r="J104" i="17"/>
  <c r="N102" i="17"/>
  <c r="L102" i="17"/>
  <c r="L100" i="17"/>
  <c r="L99" i="17"/>
  <c r="N98" i="17"/>
  <c r="M98" i="17"/>
  <c r="O97" i="17"/>
  <c r="N95" i="17"/>
  <c r="M95" i="17"/>
  <c r="L95" i="17"/>
  <c r="O95" i="17" s="1"/>
  <c r="J93" i="17"/>
  <c r="I93" i="17"/>
  <c r="J92" i="17"/>
  <c r="I92" i="17"/>
  <c r="J90" i="17"/>
  <c r="J89" i="17"/>
  <c r="J88" i="17"/>
  <c r="I88" i="17"/>
  <c r="K88" i="17" s="1"/>
  <c r="J87" i="17"/>
  <c r="I87" i="17"/>
  <c r="K87" i="17" s="1"/>
  <c r="J86" i="17"/>
  <c r="I86" i="17"/>
  <c r="K86" i="17" s="1"/>
  <c r="J85" i="17"/>
  <c r="I85" i="17"/>
  <c r="J84" i="17"/>
  <c r="I84" i="17"/>
  <c r="J83" i="17"/>
  <c r="I83" i="17"/>
  <c r="K83" i="17" s="1"/>
  <c r="J82" i="17"/>
  <c r="I82" i="17"/>
  <c r="K82" i="17" s="1"/>
  <c r="J81" i="17"/>
  <c r="I81" i="17"/>
  <c r="J80" i="17"/>
  <c r="I80" i="17"/>
  <c r="J79" i="17"/>
  <c r="J78" i="17"/>
  <c r="J77" i="17"/>
  <c r="J76" i="17"/>
  <c r="N74" i="17"/>
  <c r="L74" i="17"/>
  <c r="O74" i="17" s="1"/>
  <c r="L72" i="17"/>
  <c r="L71" i="17"/>
  <c r="N70" i="17"/>
  <c r="M70" i="17"/>
  <c r="O69" i="17"/>
  <c r="N67" i="17"/>
  <c r="M67" i="17"/>
  <c r="P67" i="17" s="1"/>
  <c r="L67" i="17"/>
  <c r="J65" i="17"/>
  <c r="I65" i="17"/>
  <c r="J64" i="17"/>
  <c r="I64" i="17"/>
  <c r="N61" i="17"/>
  <c r="L61" i="17"/>
  <c r="O61" i="17" s="1"/>
  <c r="L59" i="17"/>
  <c r="L58" i="17"/>
  <c r="N57" i="17"/>
  <c r="M57" i="17"/>
  <c r="M55" i="17" s="1"/>
  <c r="N54" i="17"/>
  <c r="M54" i="17"/>
  <c r="L54" i="17"/>
  <c r="O54" i="17" s="1"/>
  <c r="N49" i="17"/>
  <c r="L49" i="17"/>
  <c r="L47" i="17"/>
  <c r="L46" i="17"/>
  <c r="N45" i="17"/>
  <c r="M45" i="17"/>
  <c r="P42" i="17"/>
  <c r="O42" i="17"/>
  <c r="N42" i="17"/>
  <c r="M42" i="17"/>
  <c r="L42" i="17"/>
  <c r="P36" i="17"/>
  <c r="O36" i="17"/>
  <c r="P35" i="17"/>
  <c r="O35" i="17"/>
  <c r="P34" i="17"/>
  <c r="M34" i="17"/>
  <c r="P33" i="17"/>
  <c r="M33" i="17"/>
  <c r="M32" i="17"/>
  <c r="P32" i="17" s="1"/>
  <c r="P31" i="17"/>
  <c r="M31" i="17"/>
  <c r="M29" i="17" s="1"/>
  <c r="M30" i="17"/>
  <c r="P30" i="17" s="1"/>
  <c r="P25" i="17"/>
  <c r="O25" i="17"/>
  <c r="N25" i="17"/>
  <c r="M25" i="17"/>
  <c r="L25" i="17"/>
  <c r="P24" i="17"/>
  <c r="N24" i="17"/>
  <c r="M24" i="17"/>
  <c r="N23" i="17"/>
  <c r="M23" i="17"/>
  <c r="O21" i="17"/>
  <c r="N21" i="17"/>
  <c r="N19" i="17" s="1"/>
  <c r="M21" i="17"/>
  <c r="L21" i="17"/>
  <c r="L19" i="17" s="1"/>
  <c r="O19" i="17" s="1"/>
  <c r="P15" i="17"/>
  <c r="O15" i="17"/>
  <c r="N15" i="17"/>
  <c r="M15" i="17"/>
  <c r="L15" i="17"/>
  <c r="M14" i="17"/>
  <c r="P14" i="17" s="1"/>
  <c r="J635" i="16"/>
  <c r="I635" i="16"/>
  <c r="J634" i="16"/>
  <c r="I634" i="16"/>
  <c r="J633" i="16"/>
  <c r="I633" i="16"/>
  <c r="K633" i="16" s="1"/>
  <c r="J632" i="16"/>
  <c r="I632" i="16"/>
  <c r="K632" i="16" s="1"/>
  <c r="J631" i="16"/>
  <c r="I631" i="16"/>
  <c r="J630" i="16"/>
  <c r="I630" i="16"/>
  <c r="J629" i="16"/>
  <c r="I629" i="16"/>
  <c r="J628" i="16"/>
  <c r="I628" i="16"/>
  <c r="J626" i="16"/>
  <c r="I626" i="16"/>
  <c r="J625" i="16"/>
  <c r="I625" i="16"/>
  <c r="J624" i="16"/>
  <c r="I624" i="16"/>
  <c r="J623" i="16"/>
  <c r="I623" i="16"/>
  <c r="J622" i="16"/>
  <c r="I622" i="16"/>
  <c r="J621" i="16"/>
  <c r="I621" i="16"/>
  <c r="J620" i="16"/>
  <c r="I620" i="16"/>
  <c r="J619" i="16"/>
  <c r="I619" i="16"/>
  <c r="J618" i="16"/>
  <c r="I618" i="16"/>
  <c r="J617" i="16"/>
  <c r="I617" i="16"/>
  <c r="J616" i="16"/>
  <c r="I616" i="16"/>
  <c r="J615" i="16"/>
  <c r="I615" i="16"/>
  <c r="J614" i="16"/>
  <c r="I614" i="16"/>
  <c r="J613" i="16"/>
  <c r="I613" i="16"/>
  <c r="J612" i="16"/>
  <c r="I612" i="16"/>
  <c r="J611" i="16"/>
  <c r="I611" i="16"/>
  <c r="J610" i="16"/>
  <c r="J609" i="16"/>
  <c r="J608" i="16"/>
  <c r="J607" i="16"/>
  <c r="N605" i="16"/>
  <c r="N604" i="16"/>
  <c r="N603" i="16"/>
  <c r="N602" i="16"/>
  <c r="N601" i="16"/>
  <c r="L601" i="16"/>
  <c r="N600" i="16"/>
  <c r="L600" i="16"/>
  <c r="O600" i="16" s="1"/>
  <c r="N599" i="16"/>
  <c r="L599" i="16"/>
  <c r="N598" i="16"/>
  <c r="L598" i="16"/>
  <c r="O598" i="16" s="1"/>
  <c r="N597" i="16"/>
  <c r="L597" i="16"/>
  <c r="J597" i="16"/>
  <c r="I597" i="16"/>
  <c r="J596" i="16"/>
  <c r="I596" i="16"/>
  <c r="K596" i="16" s="1"/>
  <c r="J595" i="16"/>
  <c r="I595" i="16"/>
  <c r="J594" i="16"/>
  <c r="I594" i="16"/>
  <c r="K594" i="16" s="1"/>
  <c r="J593" i="16"/>
  <c r="I593" i="16"/>
  <c r="J592" i="16"/>
  <c r="I592" i="16"/>
  <c r="K592" i="16" s="1"/>
  <c r="J591" i="16"/>
  <c r="I591" i="16"/>
  <c r="J590" i="16"/>
  <c r="I590" i="16"/>
  <c r="K590" i="16" s="1"/>
  <c r="J589" i="16"/>
  <c r="I589" i="16"/>
  <c r="N588" i="16"/>
  <c r="N587" i="16"/>
  <c r="N586" i="16"/>
  <c r="N585" i="16"/>
  <c r="N584" i="16"/>
  <c r="L584" i="16"/>
  <c r="N583" i="16"/>
  <c r="L583" i="16"/>
  <c r="O583" i="16" s="1"/>
  <c r="N582" i="16"/>
  <c r="L582" i="16"/>
  <c r="N581" i="16"/>
  <c r="L581" i="16"/>
  <c r="O581" i="16" s="1"/>
  <c r="N580" i="16"/>
  <c r="L580" i="16"/>
  <c r="J580" i="16"/>
  <c r="I580" i="16"/>
  <c r="J579" i="16"/>
  <c r="I579" i="16"/>
  <c r="K579" i="16" s="1"/>
  <c r="J578" i="16"/>
  <c r="I578" i="16"/>
  <c r="K578" i="16" s="1"/>
  <c r="J577" i="16"/>
  <c r="I577" i="16"/>
  <c r="K577" i="16" s="1"/>
  <c r="J576" i="16"/>
  <c r="I576" i="16"/>
  <c r="K576" i="16" s="1"/>
  <c r="J575" i="16"/>
  <c r="I575" i="16"/>
  <c r="K575" i="16" s="1"/>
  <c r="J573" i="16"/>
  <c r="I573" i="16"/>
  <c r="N572" i="16"/>
  <c r="N571" i="16"/>
  <c r="N570" i="16"/>
  <c r="N569" i="16"/>
  <c r="N568" i="16"/>
  <c r="L568" i="16"/>
  <c r="N567" i="16"/>
  <c r="L567" i="16"/>
  <c r="O567" i="16" s="1"/>
  <c r="N566" i="16"/>
  <c r="L566" i="16"/>
  <c r="N565" i="16"/>
  <c r="L565" i="16"/>
  <c r="N564" i="16"/>
  <c r="L564" i="16"/>
  <c r="J564" i="16"/>
  <c r="I564" i="16"/>
  <c r="J561" i="16"/>
  <c r="I561" i="16"/>
  <c r="K561" i="16" s="1"/>
  <c r="J560" i="16"/>
  <c r="I560" i="16"/>
  <c r="K560" i="16" s="1"/>
  <c r="N559" i="16"/>
  <c r="N558" i="16"/>
  <c r="N557" i="16"/>
  <c r="N556" i="16"/>
  <c r="N555" i="16"/>
  <c r="L555" i="16"/>
  <c r="N554" i="16"/>
  <c r="L554" i="16"/>
  <c r="O554" i="16" s="1"/>
  <c r="N553" i="16"/>
  <c r="L553" i="16"/>
  <c r="O553" i="16" s="1"/>
  <c r="N552" i="16"/>
  <c r="L552" i="16"/>
  <c r="O552" i="16" s="1"/>
  <c r="N551" i="16"/>
  <c r="L551" i="16"/>
  <c r="O551" i="16" s="1"/>
  <c r="J551" i="16"/>
  <c r="I551" i="16"/>
  <c r="K551" i="16" s="1"/>
  <c r="J550" i="16"/>
  <c r="J549" i="16"/>
  <c r="J548" i="16"/>
  <c r="I548" i="16"/>
  <c r="K548" i="16" s="1"/>
  <c r="J547" i="16"/>
  <c r="I547" i="16"/>
  <c r="J546" i="16"/>
  <c r="J545" i="16"/>
  <c r="J544" i="16"/>
  <c r="J543" i="16"/>
  <c r="N541" i="16"/>
  <c r="N540" i="16"/>
  <c r="N539" i="16"/>
  <c r="N538" i="16"/>
  <c r="N537" i="16"/>
  <c r="L537" i="16"/>
  <c r="N536" i="16"/>
  <c r="L536" i="16"/>
  <c r="O536" i="16" s="1"/>
  <c r="N535" i="16"/>
  <c r="L535" i="16"/>
  <c r="N534" i="16"/>
  <c r="L534" i="16"/>
  <c r="O534" i="16" s="1"/>
  <c r="N533" i="16"/>
  <c r="L533" i="16"/>
  <c r="J533" i="16"/>
  <c r="I533" i="16"/>
  <c r="J532" i="16"/>
  <c r="I532" i="16"/>
  <c r="J531" i="16"/>
  <c r="I531" i="16"/>
  <c r="J530" i="16"/>
  <c r="I530" i="16"/>
  <c r="J529" i="16"/>
  <c r="I529" i="16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20" i="16"/>
  <c r="I520" i="16"/>
  <c r="J519" i="16"/>
  <c r="I519" i="16"/>
  <c r="J518" i="16"/>
  <c r="I518" i="16"/>
  <c r="J517" i="16"/>
  <c r="I517" i="16"/>
  <c r="J516" i="16"/>
  <c r="I516" i="16"/>
  <c r="J515" i="16"/>
  <c r="I515" i="16"/>
  <c r="K515" i="16" s="1"/>
  <c r="J514" i="16"/>
  <c r="I514" i="16"/>
  <c r="K514" i="16" s="1"/>
  <c r="J513" i="16"/>
  <c r="I513" i="16"/>
  <c r="K513" i="16" s="1"/>
  <c r="J512" i="16"/>
  <c r="I512" i="16"/>
  <c r="K512" i="16" s="1"/>
  <c r="J511" i="16"/>
  <c r="I511" i="16"/>
  <c r="K511" i="16" s="1"/>
  <c r="J510" i="16"/>
  <c r="I510" i="16"/>
  <c r="K510" i="16" s="1"/>
  <c r="J509" i="16"/>
  <c r="I509" i="16"/>
  <c r="K509" i="16" s="1"/>
  <c r="J508" i="16"/>
  <c r="I508" i="16"/>
  <c r="K508" i="16" s="1"/>
  <c r="J507" i="16"/>
  <c r="I507" i="16"/>
  <c r="K507" i="16" s="1"/>
  <c r="J506" i="16"/>
  <c r="I506" i="16"/>
  <c r="K506" i="16" s="1"/>
  <c r="J505" i="16"/>
  <c r="I505" i="16"/>
  <c r="K505" i="16" s="1"/>
  <c r="J504" i="16"/>
  <c r="I504" i="16"/>
  <c r="K504" i="16" s="1"/>
  <c r="J503" i="16"/>
  <c r="I503" i="16"/>
  <c r="K503" i="16" s="1"/>
  <c r="J502" i="16"/>
  <c r="I502" i="16"/>
  <c r="K502" i="16" s="1"/>
  <c r="J501" i="16"/>
  <c r="I501" i="16"/>
  <c r="K501" i="16" s="1"/>
  <c r="J500" i="16"/>
  <c r="I500" i="16"/>
  <c r="K500" i="16" s="1"/>
  <c r="J499" i="16"/>
  <c r="I499" i="16"/>
  <c r="J498" i="16"/>
  <c r="I498" i="16"/>
  <c r="J497" i="16"/>
  <c r="I497" i="16"/>
  <c r="J496" i="16"/>
  <c r="I496" i="16"/>
  <c r="K496" i="16" s="1"/>
  <c r="J495" i="16"/>
  <c r="I495" i="16"/>
  <c r="K495" i="16" s="1"/>
  <c r="J494" i="16"/>
  <c r="I494" i="16"/>
  <c r="K494" i="16" s="1"/>
  <c r="J493" i="16"/>
  <c r="I493" i="16"/>
  <c r="K493" i="16" s="1"/>
  <c r="J492" i="16"/>
  <c r="I492" i="16"/>
  <c r="K492" i="16" s="1"/>
  <c r="J491" i="16"/>
  <c r="I491" i="16"/>
  <c r="K491" i="16" s="1"/>
  <c r="J490" i="16"/>
  <c r="I490" i="16"/>
  <c r="K490" i="16" s="1"/>
  <c r="J489" i="16"/>
  <c r="I489" i="16"/>
  <c r="K489" i="16" s="1"/>
  <c r="J488" i="16"/>
  <c r="I488" i="16"/>
  <c r="K488" i="16" s="1"/>
  <c r="J487" i="16"/>
  <c r="I487" i="16"/>
  <c r="K487" i="16" s="1"/>
  <c r="J486" i="16"/>
  <c r="I486" i="16"/>
  <c r="K486" i="16" s="1"/>
  <c r="J485" i="16"/>
  <c r="I485" i="16"/>
  <c r="K485" i="16" s="1"/>
  <c r="J484" i="16"/>
  <c r="I484" i="16"/>
  <c r="K484" i="16" s="1"/>
  <c r="J483" i="16"/>
  <c r="I483" i="16"/>
  <c r="K483" i="16" s="1"/>
  <c r="J482" i="16"/>
  <c r="I482" i="16"/>
  <c r="J481" i="16"/>
  <c r="I481" i="16"/>
  <c r="J480" i="16"/>
  <c r="I480" i="16"/>
  <c r="K480" i="16" s="1"/>
  <c r="J479" i="16"/>
  <c r="I479" i="16"/>
  <c r="K479" i="16" s="1"/>
  <c r="J478" i="16"/>
  <c r="I478" i="16"/>
  <c r="K478" i="16" s="1"/>
  <c r="J477" i="16"/>
  <c r="I477" i="16"/>
  <c r="K477" i="16" s="1"/>
  <c r="J476" i="16"/>
  <c r="I476" i="16"/>
  <c r="K476" i="16" s="1"/>
  <c r="J475" i="16"/>
  <c r="I475" i="16"/>
  <c r="K475" i="16" s="1"/>
  <c r="J474" i="16"/>
  <c r="I474" i="16"/>
  <c r="J473" i="16"/>
  <c r="I473" i="16"/>
  <c r="J472" i="16"/>
  <c r="I472" i="16"/>
  <c r="K472" i="16" s="1"/>
  <c r="J471" i="16"/>
  <c r="I471" i="16"/>
  <c r="K471" i="16" s="1"/>
  <c r="J470" i="16"/>
  <c r="I470" i="16"/>
  <c r="K470" i="16" s="1"/>
  <c r="J469" i="16"/>
  <c r="I469" i="16"/>
  <c r="K469" i="16" s="1"/>
  <c r="J468" i="16"/>
  <c r="I468" i="16"/>
  <c r="K468" i="16" s="1"/>
  <c r="J467" i="16"/>
  <c r="I467" i="16"/>
  <c r="K467" i="16" s="1"/>
  <c r="J466" i="16"/>
  <c r="I466" i="16"/>
  <c r="J465" i="16"/>
  <c r="I465" i="16"/>
  <c r="J464" i="16"/>
  <c r="I464" i="16"/>
  <c r="N463" i="16"/>
  <c r="N462" i="16"/>
  <c r="N461" i="16"/>
  <c r="N460" i="16"/>
  <c r="N459" i="16"/>
  <c r="L459" i="16"/>
  <c r="N458" i="16"/>
  <c r="L458" i="16"/>
  <c r="O458" i="16" s="1"/>
  <c r="N457" i="16"/>
  <c r="L457" i="16"/>
  <c r="N456" i="16"/>
  <c r="L456" i="16"/>
  <c r="O456" i="16" s="1"/>
  <c r="N455" i="16"/>
  <c r="L455" i="16"/>
  <c r="J455" i="16"/>
  <c r="I455" i="16"/>
  <c r="J454" i="16"/>
  <c r="J453" i="16"/>
  <c r="J452" i="16"/>
  <c r="I452" i="16"/>
  <c r="K452" i="16" s="1"/>
  <c r="J451" i="16"/>
  <c r="I451" i="16"/>
  <c r="J450" i="16"/>
  <c r="I450" i="16"/>
  <c r="J449" i="16"/>
  <c r="I449" i="16"/>
  <c r="J448" i="16"/>
  <c r="J447" i="16"/>
  <c r="J446" i="16"/>
  <c r="J445" i="16"/>
  <c r="N443" i="16"/>
  <c r="N442" i="16"/>
  <c r="N441" i="16"/>
  <c r="N440" i="16"/>
  <c r="N439" i="16"/>
  <c r="L439" i="16"/>
  <c r="N438" i="16"/>
  <c r="L438" i="16"/>
  <c r="O438" i="16" s="1"/>
  <c r="N437" i="16"/>
  <c r="L437" i="16"/>
  <c r="N436" i="16"/>
  <c r="L436" i="16"/>
  <c r="O436" i="16" s="1"/>
  <c r="N435" i="16"/>
  <c r="L435" i="16"/>
  <c r="J435" i="16"/>
  <c r="I435" i="16"/>
  <c r="J434" i="16"/>
  <c r="J433" i="16"/>
  <c r="J432" i="16"/>
  <c r="I432" i="16"/>
  <c r="J431" i="16"/>
  <c r="I431" i="16"/>
  <c r="J430" i="16"/>
  <c r="I430" i="16"/>
  <c r="J429" i="16"/>
  <c r="I429" i="16"/>
  <c r="J428" i="16"/>
  <c r="I428" i="16"/>
  <c r="J427" i="16"/>
  <c r="I427" i="16"/>
  <c r="J426" i="16"/>
  <c r="I426" i="16"/>
  <c r="J425" i="16"/>
  <c r="I425" i="16"/>
  <c r="J424" i="16"/>
  <c r="I424" i="16"/>
  <c r="J423" i="16"/>
  <c r="I423" i="16"/>
  <c r="J422" i="16"/>
  <c r="I422" i="16"/>
  <c r="J421" i="16"/>
  <c r="I421" i="16"/>
  <c r="J420" i="16"/>
  <c r="I420" i="16"/>
  <c r="J419" i="16"/>
  <c r="I419" i="16"/>
  <c r="J418" i="16"/>
  <c r="I418" i="16"/>
  <c r="J417" i="16"/>
  <c r="I417" i="16"/>
  <c r="J416" i="16"/>
  <c r="I416" i="16"/>
  <c r="J415" i="16"/>
  <c r="J414" i="16"/>
  <c r="J413" i="16"/>
  <c r="J412" i="16"/>
  <c r="N410" i="16"/>
  <c r="N409" i="16"/>
  <c r="N408" i="16"/>
  <c r="N407" i="16"/>
  <c r="N406" i="16"/>
  <c r="L406" i="16"/>
  <c r="N405" i="16"/>
  <c r="L405" i="16"/>
  <c r="O405" i="16" s="1"/>
  <c r="N404" i="16"/>
  <c r="L404" i="16"/>
  <c r="N403" i="16"/>
  <c r="L403" i="16"/>
  <c r="O403" i="16" s="1"/>
  <c r="J402" i="16"/>
  <c r="I402" i="16"/>
  <c r="N401" i="16"/>
  <c r="L401" i="16"/>
  <c r="J401" i="16"/>
  <c r="I401" i="16"/>
  <c r="J400" i="16"/>
  <c r="J399" i="16"/>
  <c r="J398" i="16"/>
  <c r="I398" i="16"/>
  <c r="J397" i="16"/>
  <c r="I397" i="16"/>
  <c r="J396" i="16"/>
  <c r="I396" i="16"/>
  <c r="J394" i="16"/>
  <c r="J393" i="16"/>
  <c r="J392" i="16"/>
  <c r="J391" i="16"/>
  <c r="N389" i="16"/>
  <c r="N388" i="16"/>
  <c r="N387" i="16"/>
  <c r="N386" i="16"/>
  <c r="N385" i="16"/>
  <c r="L385" i="16"/>
  <c r="N384" i="16"/>
  <c r="L384" i="16"/>
  <c r="N383" i="16"/>
  <c r="L383" i="16"/>
  <c r="N382" i="16"/>
  <c r="L382" i="16"/>
  <c r="O382" i="16" s="1"/>
  <c r="J381" i="16"/>
  <c r="I381" i="16"/>
  <c r="N380" i="16"/>
  <c r="L380" i="16"/>
  <c r="J380" i="16"/>
  <c r="I380" i="16"/>
  <c r="J379" i="16"/>
  <c r="J378" i="16"/>
  <c r="J377" i="16"/>
  <c r="I377" i="16"/>
  <c r="K377" i="16" s="1"/>
  <c r="J376" i="16"/>
  <c r="I376" i="16"/>
  <c r="J375" i="16"/>
  <c r="I375" i="16"/>
  <c r="J374" i="16"/>
  <c r="I374" i="16"/>
  <c r="J373" i="16"/>
  <c r="I373" i="16"/>
  <c r="K373" i="16" s="1"/>
  <c r="J372" i="16"/>
  <c r="I372" i="16"/>
  <c r="J371" i="16"/>
  <c r="I371" i="16"/>
  <c r="K371" i="16" s="1"/>
  <c r="J370" i="16"/>
  <c r="I370" i="16"/>
  <c r="J369" i="16"/>
  <c r="I369" i="16"/>
  <c r="K369" i="16" s="1"/>
  <c r="J368" i="16"/>
  <c r="I368" i="16"/>
  <c r="J367" i="16"/>
  <c r="J366" i="16"/>
  <c r="J365" i="16"/>
  <c r="I365" i="16"/>
  <c r="K365" i="16" s="1"/>
  <c r="J364" i="16"/>
  <c r="J363" i="16"/>
  <c r="J362" i="16"/>
  <c r="J361" i="16"/>
  <c r="J360" i="16"/>
  <c r="N358" i="16"/>
  <c r="N357" i="16"/>
  <c r="N356" i="16"/>
  <c r="N355" i="16"/>
  <c r="N354" i="16"/>
  <c r="L354" i="16"/>
  <c r="N353" i="16"/>
  <c r="L353" i="16"/>
  <c r="O353" i="16" s="1"/>
  <c r="N352" i="16"/>
  <c r="L352" i="16"/>
  <c r="N351" i="16"/>
  <c r="L351" i="16"/>
  <c r="O351" i="16" s="1"/>
  <c r="J350" i="16"/>
  <c r="I350" i="16"/>
  <c r="N349" i="16"/>
  <c r="L349" i="16"/>
  <c r="J349" i="16"/>
  <c r="I349" i="16"/>
  <c r="N347" i="16"/>
  <c r="L347" i="16"/>
  <c r="J346" i="16"/>
  <c r="I346" i="16"/>
  <c r="K346" i="16" s="1"/>
  <c r="J345" i="16"/>
  <c r="I345" i="16"/>
  <c r="J344" i="16"/>
  <c r="I344" i="16"/>
  <c r="K344" i="16" s="1"/>
  <c r="J343" i="16"/>
  <c r="I343" i="16"/>
  <c r="J342" i="16"/>
  <c r="I342" i="16"/>
  <c r="K342" i="16" s="1"/>
  <c r="J341" i="16"/>
  <c r="I341" i="16"/>
  <c r="J340" i="16"/>
  <c r="I340" i="16"/>
  <c r="J339" i="16"/>
  <c r="I339" i="16"/>
  <c r="K339" i="16" s="1"/>
  <c r="N337" i="16"/>
  <c r="L337" i="16"/>
  <c r="M337" i="16" s="1"/>
  <c r="L335" i="16"/>
  <c r="L334" i="16"/>
  <c r="N333" i="16"/>
  <c r="M333" i="16"/>
  <c r="O332" i="16"/>
  <c r="O330" i="16"/>
  <c r="N330" i="16"/>
  <c r="M330" i="16"/>
  <c r="P330" i="16" s="1"/>
  <c r="L330" i="16"/>
  <c r="J328" i="16"/>
  <c r="I328" i="16"/>
  <c r="J326" i="16"/>
  <c r="J325" i="16"/>
  <c r="J324" i="16"/>
  <c r="I324" i="16"/>
  <c r="K324" i="16" s="1"/>
  <c r="J323" i="16"/>
  <c r="J322" i="16"/>
  <c r="J321" i="16"/>
  <c r="J320" i="16"/>
  <c r="N318" i="16"/>
  <c r="L318" i="16"/>
  <c r="O318" i="16" s="1"/>
  <c r="L316" i="16"/>
  <c r="L315" i="16"/>
  <c r="N314" i="16"/>
  <c r="M314" i="16"/>
  <c r="M312" i="16" s="1"/>
  <c r="P312" i="16" s="1"/>
  <c r="O313" i="16"/>
  <c r="O311" i="16"/>
  <c r="N311" i="16"/>
  <c r="M311" i="16"/>
  <c r="P311" i="16" s="1"/>
  <c r="L311" i="16"/>
  <c r="J309" i="16"/>
  <c r="I309" i="16"/>
  <c r="K309" i="16" s="1"/>
  <c r="J308" i="16"/>
  <c r="J307" i="16"/>
  <c r="J306" i="16"/>
  <c r="I306" i="16"/>
  <c r="K306" i="16" s="1"/>
  <c r="J304" i="16"/>
  <c r="I304" i="16"/>
  <c r="K304" i="16" s="1"/>
  <c r="J303" i="16"/>
  <c r="J302" i="16"/>
  <c r="J301" i="16"/>
  <c r="J300" i="16"/>
  <c r="N298" i="16"/>
  <c r="L298" i="16"/>
  <c r="O298" i="16" s="1"/>
  <c r="L296" i="16"/>
  <c r="L295" i="16"/>
  <c r="N294" i="16"/>
  <c r="M294" i="16"/>
  <c r="O293" i="16"/>
  <c r="P291" i="16"/>
  <c r="N291" i="16"/>
  <c r="M291" i="16"/>
  <c r="L291" i="16"/>
  <c r="O291" i="16" s="1"/>
  <c r="J289" i="16"/>
  <c r="I289" i="16"/>
  <c r="K289" i="16" s="1"/>
  <c r="J287" i="16"/>
  <c r="J286" i="16"/>
  <c r="J285" i="16"/>
  <c r="I285" i="16"/>
  <c r="J284" i="16"/>
  <c r="J283" i="16"/>
  <c r="J282" i="16"/>
  <c r="J281" i="16"/>
  <c r="N279" i="16"/>
  <c r="L279" i="16"/>
  <c r="O279" i="16" s="1"/>
  <c r="L277" i="16"/>
  <c r="L276" i="16"/>
  <c r="N275" i="16"/>
  <c r="M275" i="16"/>
  <c r="O274" i="16"/>
  <c r="P272" i="16"/>
  <c r="N272" i="16"/>
  <c r="M272" i="16"/>
  <c r="L272" i="16"/>
  <c r="O272" i="16" s="1"/>
  <c r="J270" i="16"/>
  <c r="I270" i="16"/>
  <c r="J269" i="16"/>
  <c r="J268" i="16"/>
  <c r="J267" i="16"/>
  <c r="I267" i="16"/>
  <c r="K267" i="16" s="1"/>
  <c r="J266" i="16"/>
  <c r="I266" i="16"/>
  <c r="K266" i="16" s="1"/>
  <c r="J265" i="16"/>
  <c r="I265" i="16"/>
  <c r="K265" i="16" s="1"/>
  <c r="J264" i="16"/>
  <c r="I264" i="16"/>
  <c r="K264" i="16" s="1"/>
  <c r="J263" i="16"/>
  <c r="J262" i="16"/>
  <c r="J261" i="16"/>
  <c r="J260" i="16"/>
  <c r="N258" i="16"/>
  <c r="L258" i="16"/>
  <c r="O258" i="16" s="1"/>
  <c r="L256" i="16"/>
  <c r="L255" i="16"/>
  <c r="N254" i="16"/>
  <c r="M254" i="16"/>
  <c r="M252" i="16" s="1"/>
  <c r="P252" i="16" s="1"/>
  <c r="O253" i="16"/>
  <c r="N251" i="16"/>
  <c r="M251" i="16"/>
  <c r="L251" i="16"/>
  <c r="O251" i="16" s="1"/>
  <c r="J249" i="16"/>
  <c r="I249" i="16"/>
  <c r="K249" i="16" s="1"/>
  <c r="J246" i="16"/>
  <c r="J245" i="16"/>
  <c r="J244" i="16"/>
  <c r="I244" i="16"/>
  <c r="K244" i="16" s="1"/>
  <c r="J243" i="16"/>
  <c r="J242" i="16"/>
  <c r="J241" i="16"/>
  <c r="J240" i="16"/>
  <c r="J238" i="16"/>
  <c r="I238" i="16"/>
  <c r="K238" i="16" s="1"/>
  <c r="J237" i="16"/>
  <c r="J236" i="16"/>
  <c r="J235" i="16"/>
  <c r="I235" i="16"/>
  <c r="J234" i="16"/>
  <c r="J233" i="16"/>
  <c r="J232" i="16"/>
  <c r="J231" i="16"/>
  <c r="J229" i="16"/>
  <c r="I229" i="16"/>
  <c r="N228" i="16"/>
  <c r="L228" i="16"/>
  <c r="O228" i="16" s="1"/>
  <c r="L226" i="16"/>
  <c r="L225" i="16"/>
  <c r="N224" i="16"/>
  <c r="M224" i="16"/>
  <c r="O223" i="16"/>
  <c r="P221" i="16"/>
  <c r="O221" i="16"/>
  <c r="N221" i="16"/>
  <c r="M221" i="16"/>
  <c r="L221" i="16"/>
  <c r="J219" i="16"/>
  <c r="I219" i="16"/>
  <c r="J218" i="16"/>
  <c r="J217" i="16"/>
  <c r="J216" i="16"/>
  <c r="I216" i="16"/>
  <c r="K216" i="16" s="1"/>
  <c r="J215" i="16"/>
  <c r="I215" i="16"/>
  <c r="K215" i="16" s="1"/>
  <c r="J213" i="16"/>
  <c r="I213" i="16"/>
  <c r="K213" i="16" s="1"/>
  <c r="J212" i="16"/>
  <c r="J211" i="16"/>
  <c r="J210" i="16"/>
  <c r="J209" i="16"/>
  <c r="J204" i="16"/>
  <c r="I204" i="16"/>
  <c r="K204" i="16" s="1"/>
  <c r="J203" i="16"/>
  <c r="J202" i="16"/>
  <c r="J201" i="16"/>
  <c r="I201" i="16"/>
  <c r="K201" i="16" s="1"/>
  <c r="J200" i="16"/>
  <c r="I200" i="16"/>
  <c r="J199" i="16"/>
  <c r="I199" i="16"/>
  <c r="J197" i="16"/>
  <c r="J196" i="16"/>
  <c r="J195" i="16"/>
  <c r="J194" i="16"/>
  <c r="J189" i="16"/>
  <c r="I189" i="16"/>
  <c r="J188" i="16"/>
  <c r="J187" i="16"/>
  <c r="J186" i="16"/>
  <c r="I186" i="16"/>
  <c r="J185" i="16"/>
  <c r="I185" i="16"/>
  <c r="J184" i="16"/>
  <c r="J183" i="16"/>
  <c r="J182" i="16"/>
  <c r="J181" i="16"/>
  <c r="J176" i="16"/>
  <c r="I176" i="16"/>
  <c r="J175" i="16"/>
  <c r="J174" i="16"/>
  <c r="J173" i="16"/>
  <c r="I173" i="16"/>
  <c r="J172" i="16"/>
  <c r="J171" i="16"/>
  <c r="J170" i="16"/>
  <c r="J169" i="16"/>
  <c r="J164" i="16"/>
  <c r="I164" i="16"/>
  <c r="J163" i="16"/>
  <c r="J162" i="16"/>
  <c r="J161" i="16"/>
  <c r="J160" i="16"/>
  <c r="J159" i="16"/>
  <c r="J158" i="16"/>
  <c r="I158" i="16"/>
  <c r="J157" i="16"/>
  <c r="J156" i="16"/>
  <c r="J155" i="16"/>
  <c r="J154" i="16"/>
  <c r="J149" i="16"/>
  <c r="I149" i="16"/>
  <c r="N148" i="16"/>
  <c r="L148" i="16"/>
  <c r="O148" i="16" s="1"/>
  <c r="L146" i="16"/>
  <c r="L145" i="16"/>
  <c r="N144" i="16"/>
  <c r="M144" i="16"/>
  <c r="M142" i="16" s="1"/>
  <c r="O143" i="16"/>
  <c r="O141" i="16"/>
  <c r="N141" i="16"/>
  <c r="M141" i="16"/>
  <c r="L141" i="16"/>
  <c r="J138" i="16"/>
  <c r="I138" i="16"/>
  <c r="K138" i="16" s="1"/>
  <c r="J135" i="16"/>
  <c r="J134" i="16"/>
  <c r="J133" i="16"/>
  <c r="I133" i="16"/>
  <c r="K133" i="16" s="1"/>
  <c r="J132" i="16"/>
  <c r="I132" i="16"/>
  <c r="K132" i="16" s="1"/>
  <c r="J131" i="16"/>
  <c r="J130" i="16"/>
  <c r="J129" i="16"/>
  <c r="J128" i="16"/>
  <c r="N126" i="16"/>
  <c r="L126" i="16"/>
  <c r="O126" i="16" s="1"/>
  <c r="L124" i="16"/>
  <c r="L123" i="16"/>
  <c r="N122" i="16"/>
  <c r="M122" i="16"/>
  <c r="M120" i="16" s="1"/>
  <c r="P120" i="16" s="1"/>
  <c r="O121" i="16"/>
  <c r="N119" i="16"/>
  <c r="M119" i="16"/>
  <c r="P119" i="16" s="1"/>
  <c r="L119" i="16"/>
  <c r="O119" i="16" s="1"/>
  <c r="J117" i="16"/>
  <c r="I117" i="16"/>
  <c r="K117" i="16" s="1"/>
  <c r="J115" i="16"/>
  <c r="J114" i="16"/>
  <c r="J113" i="16"/>
  <c r="I113" i="16"/>
  <c r="K113" i="16" s="1"/>
  <c r="J112" i="16"/>
  <c r="I112" i="16"/>
  <c r="K112" i="16" s="1"/>
  <c r="J111" i="16"/>
  <c r="I111" i="16"/>
  <c r="K111" i="16" s="1"/>
  <c r="J110" i="16"/>
  <c r="I110" i="16"/>
  <c r="K110" i="16" s="1"/>
  <c r="J109" i="16"/>
  <c r="I109" i="16"/>
  <c r="K109" i="16" s="1"/>
  <c r="J108" i="16"/>
  <c r="I108" i="16"/>
  <c r="K108" i="16" s="1"/>
  <c r="J107" i="16"/>
  <c r="J106" i="16"/>
  <c r="J105" i="16"/>
  <c r="J104" i="16"/>
  <c r="N102" i="16"/>
  <c r="L102" i="16"/>
  <c r="O102" i="16" s="1"/>
  <c r="L100" i="16"/>
  <c r="L99" i="16"/>
  <c r="N98" i="16"/>
  <c r="M98" i="16"/>
  <c r="M96" i="16" s="1"/>
  <c r="O97" i="16"/>
  <c r="P95" i="16"/>
  <c r="O95" i="16"/>
  <c r="N95" i="16"/>
  <c r="M95" i="16"/>
  <c r="L95" i="16"/>
  <c r="J93" i="16"/>
  <c r="I93" i="16"/>
  <c r="K93" i="16" s="1"/>
  <c r="J92" i="16"/>
  <c r="I92" i="16"/>
  <c r="K92" i="16" s="1"/>
  <c r="J90" i="16"/>
  <c r="J89" i="16"/>
  <c r="J88" i="16"/>
  <c r="I88" i="16"/>
  <c r="K88" i="16" s="1"/>
  <c r="J87" i="16"/>
  <c r="I87" i="16"/>
  <c r="K87" i="16" s="1"/>
  <c r="J86" i="16"/>
  <c r="I86" i="16"/>
  <c r="K86" i="16" s="1"/>
  <c r="J85" i="16"/>
  <c r="I85" i="16"/>
  <c r="K85" i="16" s="1"/>
  <c r="J84" i="16"/>
  <c r="I84" i="16"/>
  <c r="K84" i="16" s="1"/>
  <c r="J83" i="16"/>
  <c r="I83" i="16"/>
  <c r="K83" i="16" s="1"/>
  <c r="J82" i="16"/>
  <c r="I82" i="16"/>
  <c r="K82" i="16" s="1"/>
  <c r="J81" i="16"/>
  <c r="I81" i="16"/>
  <c r="K81" i="16" s="1"/>
  <c r="J80" i="16"/>
  <c r="I80" i="16"/>
  <c r="K80" i="16" s="1"/>
  <c r="J79" i="16"/>
  <c r="J78" i="16"/>
  <c r="J77" i="16"/>
  <c r="J76" i="16"/>
  <c r="N74" i="16"/>
  <c r="L74" i="16"/>
  <c r="O74" i="16" s="1"/>
  <c r="L72" i="16"/>
  <c r="L71" i="16"/>
  <c r="N70" i="16"/>
  <c r="M70" i="16"/>
  <c r="O69" i="16"/>
  <c r="P67" i="16"/>
  <c r="N67" i="16"/>
  <c r="M67" i="16"/>
  <c r="L67" i="16"/>
  <c r="J65" i="16"/>
  <c r="I65" i="16"/>
  <c r="K65" i="16" s="1"/>
  <c r="J64" i="16"/>
  <c r="I64" i="16"/>
  <c r="K64" i="16" s="1"/>
  <c r="N61" i="16"/>
  <c r="L61" i="16"/>
  <c r="O61" i="16" s="1"/>
  <c r="L59" i="16"/>
  <c r="L58" i="16"/>
  <c r="N57" i="16"/>
  <c r="M57" i="16"/>
  <c r="P54" i="16"/>
  <c r="O54" i="16"/>
  <c r="N54" i="16"/>
  <c r="M54" i="16"/>
  <c r="L54" i="16"/>
  <c r="N49" i="16"/>
  <c r="L49" i="16"/>
  <c r="L47" i="16"/>
  <c r="L46" i="16"/>
  <c r="N45" i="16"/>
  <c r="M45" i="16"/>
  <c r="P42" i="16"/>
  <c r="N42" i="16"/>
  <c r="M42" i="16"/>
  <c r="L42" i="16"/>
  <c r="O42" i="16" s="1"/>
  <c r="P36" i="16"/>
  <c r="O36" i="16"/>
  <c r="P35" i="16"/>
  <c r="O35" i="16"/>
  <c r="M34" i="16"/>
  <c r="P34" i="16" s="1"/>
  <c r="M33" i="16"/>
  <c r="P33" i="16" s="1"/>
  <c r="P32" i="16"/>
  <c r="M32" i="16"/>
  <c r="P31" i="16"/>
  <c r="M31" i="16"/>
  <c r="M29" i="16" s="1"/>
  <c r="M30" i="16"/>
  <c r="P30" i="16" s="1"/>
  <c r="O25" i="16"/>
  <c r="N25" i="16"/>
  <c r="N19" i="16" s="1"/>
  <c r="M25" i="16"/>
  <c r="P25" i="16" s="1"/>
  <c r="L25" i="16"/>
  <c r="N24" i="16"/>
  <c r="M24" i="16"/>
  <c r="P24" i="16" s="1"/>
  <c r="P23" i="16"/>
  <c r="N23" i="16"/>
  <c r="M23" i="16"/>
  <c r="N21" i="16"/>
  <c r="M21" i="16"/>
  <c r="L21" i="16"/>
  <c r="O21" i="16" s="1"/>
  <c r="O19" i="16"/>
  <c r="L19" i="16"/>
  <c r="N15" i="16"/>
  <c r="L15" i="16"/>
  <c r="O15" i="16" s="1"/>
  <c r="P13" i="16"/>
  <c r="M13" i="16"/>
  <c r="J635" i="15"/>
  <c r="I635" i="15"/>
  <c r="J634" i="15"/>
  <c r="I634" i="15"/>
  <c r="J633" i="15"/>
  <c r="I633" i="15"/>
  <c r="K633" i="15" s="1"/>
  <c r="J632" i="15"/>
  <c r="I632" i="15"/>
  <c r="K632" i="15" s="1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K625" i="15" s="1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J594" i="15"/>
  <c r="I594" i="15"/>
  <c r="K594" i="15" s="1"/>
  <c r="J593" i="15"/>
  <c r="I593" i="15"/>
  <c r="J592" i="15"/>
  <c r="I592" i="15"/>
  <c r="K592" i="15" s="1"/>
  <c r="J591" i="15"/>
  <c r="I591" i="15"/>
  <c r="J590" i="15"/>
  <c r="I590" i="15"/>
  <c r="K590" i="15" s="1"/>
  <c r="J589" i="15"/>
  <c r="I589" i="15"/>
  <c r="N588" i="15"/>
  <c r="N587" i="15"/>
  <c r="N586" i="15"/>
  <c r="N585" i="15"/>
  <c r="N584" i="15"/>
  <c r="L584" i="15"/>
  <c r="N583" i="15"/>
  <c r="L583" i="15"/>
  <c r="O583" i="15" s="1"/>
  <c r="N582" i="15"/>
  <c r="L582" i="15"/>
  <c r="N581" i="15"/>
  <c r="L581" i="15"/>
  <c r="O581" i="15" s="1"/>
  <c r="N580" i="15"/>
  <c r="L580" i="15"/>
  <c r="J580" i="15"/>
  <c r="I580" i="15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K497" i="15" s="1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K465" i="15" s="1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J424" i="15"/>
  <c r="I424" i="15"/>
  <c r="J423" i="15"/>
  <c r="I423" i="15"/>
  <c r="J422" i="15"/>
  <c r="I422" i="15"/>
  <c r="J421" i="15"/>
  <c r="I421" i="15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O384" i="15" s="1"/>
  <c r="N383" i="15"/>
  <c r="L383" i="15"/>
  <c r="N382" i="15"/>
  <c r="L382" i="15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K369" i="15" s="1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O351" i="15" s="1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O337" i="15" s="1"/>
  <c r="L335" i="15"/>
  <c r="L334" i="15"/>
  <c r="N333" i="15"/>
  <c r="M333" i="15"/>
  <c r="M331" i="15" s="1"/>
  <c r="O332" i="15"/>
  <c r="N330" i="15"/>
  <c r="M330" i="15"/>
  <c r="P330" i="15" s="1"/>
  <c r="L330" i="15"/>
  <c r="O330" i="15" s="1"/>
  <c r="J328" i="15"/>
  <c r="I328" i="15"/>
  <c r="J326" i="15"/>
  <c r="J325" i="15"/>
  <c r="J324" i="15"/>
  <c r="I324" i="15"/>
  <c r="K324" i="15" s="1"/>
  <c r="J323" i="15"/>
  <c r="J322" i="15"/>
  <c r="J321" i="15"/>
  <c r="J320" i="15"/>
  <c r="N318" i="15"/>
  <c r="L318" i="15"/>
  <c r="O318" i="15" s="1"/>
  <c r="L316" i="15"/>
  <c r="L315" i="15"/>
  <c r="N314" i="15"/>
  <c r="M314" i="15"/>
  <c r="O313" i="15"/>
  <c r="O311" i="15"/>
  <c r="N311" i="15"/>
  <c r="M311" i="15"/>
  <c r="P311" i="15" s="1"/>
  <c r="L311" i="15"/>
  <c r="J309" i="15"/>
  <c r="I309" i="15"/>
  <c r="K309" i="15" s="1"/>
  <c r="J308" i="15"/>
  <c r="J307" i="15"/>
  <c r="J306" i="15"/>
  <c r="I306" i="15"/>
  <c r="K306" i="15" s="1"/>
  <c r="J304" i="15"/>
  <c r="I304" i="15"/>
  <c r="K304" i="15" s="1"/>
  <c r="J303" i="15"/>
  <c r="J302" i="15"/>
  <c r="J301" i="15"/>
  <c r="J300" i="15"/>
  <c r="N298" i="15"/>
  <c r="L298" i="15"/>
  <c r="O298" i="15" s="1"/>
  <c r="L296" i="15"/>
  <c r="L295" i="15"/>
  <c r="N294" i="15"/>
  <c r="M294" i="15"/>
  <c r="O293" i="15"/>
  <c r="P291" i="15"/>
  <c r="N291" i="15"/>
  <c r="M291" i="15"/>
  <c r="L291" i="15"/>
  <c r="O291" i="15" s="1"/>
  <c r="J289" i="15"/>
  <c r="I289" i="15"/>
  <c r="K289" i="15" s="1"/>
  <c r="J287" i="15"/>
  <c r="J286" i="15"/>
  <c r="J285" i="15"/>
  <c r="I285" i="15"/>
  <c r="K285" i="15" s="1"/>
  <c r="J284" i="15"/>
  <c r="J283" i="15"/>
  <c r="J282" i="15"/>
  <c r="J281" i="15"/>
  <c r="N279" i="15"/>
  <c r="L279" i="15"/>
  <c r="O279" i="15" s="1"/>
  <c r="L277" i="15"/>
  <c r="L276" i="15"/>
  <c r="N275" i="15"/>
  <c r="M275" i="15"/>
  <c r="M273" i="15" s="1"/>
  <c r="P273" i="15" s="1"/>
  <c r="O274" i="15"/>
  <c r="P272" i="15"/>
  <c r="N272" i="15"/>
  <c r="M272" i="15"/>
  <c r="L272" i="15"/>
  <c r="O272" i="15" s="1"/>
  <c r="J270" i="15"/>
  <c r="I270" i="15"/>
  <c r="K270" i="15" s="1"/>
  <c r="J269" i="15"/>
  <c r="J268" i="15"/>
  <c r="J267" i="15"/>
  <c r="I267" i="15"/>
  <c r="J266" i="15"/>
  <c r="I266" i="15"/>
  <c r="J265" i="15"/>
  <c r="I265" i="15"/>
  <c r="J264" i="15"/>
  <c r="I264" i="15"/>
  <c r="J263" i="15"/>
  <c r="J262" i="15"/>
  <c r="J261" i="15"/>
  <c r="J260" i="15"/>
  <c r="N258" i="15"/>
  <c r="L258" i="15"/>
  <c r="O258" i="15" s="1"/>
  <c r="L256" i="15"/>
  <c r="L255" i="15"/>
  <c r="N254" i="15"/>
  <c r="M254" i="15"/>
  <c r="M252" i="15" s="1"/>
  <c r="O253" i="15"/>
  <c r="O251" i="15"/>
  <c r="N251" i="15"/>
  <c r="M251" i="15"/>
  <c r="L251" i="15"/>
  <c r="J249" i="15"/>
  <c r="I249" i="15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M222" i="15" s="1"/>
  <c r="O223" i="15"/>
  <c r="P221" i="15"/>
  <c r="O221" i="15"/>
  <c r="N221" i="15"/>
  <c r="M221" i="15"/>
  <c r="L221" i="15"/>
  <c r="J219" i="15"/>
  <c r="I219" i="15"/>
  <c r="J218" i="15"/>
  <c r="J217" i="15"/>
  <c r="J216" i="15"/>
  <c r="I216" i="15"/>
  <c r="J215" i="15"/>
  <c r="I215" i="15"/>
  <c r="J213" i="15"/>
  <c r="I213" i="15"/>
  <c r="J212" i="15"/>
  <c r="J211" i="15"/>
  <c r="J210" i="15"/>
  <c r="J209" i="15"/>
  <c r="J204" i="15"/>
  <c r="I204" i="15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O148" i="15" s="1"/>
  <c r="L146" i="15"/>
  <c r="L145" i="15"/>
  <c r="N144" i="15"/>
  <c r="M144" i="15"/>
  <c r="M142" i="15" s="1"/>
  <c r="O143" i="15"/>
  <c r="O141" i="15"/>
  <c r="N141" i="15"/>
  <c r="M141" i="15"/>
  <c r="L141" i="15"/>
  <c r="J138" i="15"/>
  <c r="I138" i="15"/>
  <c r="J135" i="15"/>
  <c r="J134" i="15"/>
  <c r="J133" i="15"/>
  <c r="I133" i="15"/>
  <c r="K133" i="15" s="1"/>
  <c r="J132" i="15"/>
  <c r="I132" i="15"/>
  <c r="K132" i="15" s="1"/>
  <c r="J131" i="15"/>
  <c r="J130" i="15"/>
  <c r="J129" i="15"/>
  <c r="J128" i="15"/>
  <c r="N126" i="15"/>
  <c r="L126" i="15"/>
  <c r="O126" i="15" s="1"/>
  <c r="L124" i="15"/>
  <c r="L123" i="15"/>
  <c r="N122" i="15"/>
  <c r="M122" i="15"/>
  <c r="P122" i="15" s="1"/>
  <c r="O121" i="15"/>
  <c r="N119" i="15"/>
  <c r="M119" i="15"/>
  <c r="P119" i="15" s="1"/>
  <c r="L119" i="15"/>
  <c r="O119" i="15" s="1"/>
  <c r="J117" i="15"/>
  <c r="I117" i="15"/>
  <c r="K117" i="15" s="1"/>
  <c r="J115" i="15"/>
  <c r="J114" i="15"/>
  <c r="J113" i="15"/>
  <c r="I113" i="15"/>
  <c r="J112" i="15"/>
  <c r="I112" i="15"/>
  <c r="J111" i="15"/>
  <c r="I111" i="15"/>
  <c r="J110" i="15"/>
  <c r="I110" i="15"/>
  <c r="J109" i="15"/>
  <c r="I109" i="15"/>
  <c r="J108" i="15"/>
  <c r="I108" i="15"/>
  <c r="J107" i="15"/>
  <c r="J106" i="15"/>
  <c r="J105" i="15"/>
  <c r="J104" i="15"/>
  <c r="N102" i="15"/>
  <c r="L102" i="15"/>
  <c r="L100" i="15"/>
  <c r="L99" i="15"/>
  <c r="N98" i="15"/>
  <c r="M98" i="15"/>
  <c r="O97" i="15"/>
  <c r="N95" i="15"/>
  <c r="M95" i="15"/>
  <c r="L95" i="15"/>
  <c r="O95" i="15" s="1"/>
  <c r="J93" i="15"/>
  <c r="I93" i="15"/>
  <c r="J92" i="15"/>
  <c r="I92" i="15"/>
  <c r="J90" i="15"/>
  <c r="J89" i="15"/>
  <c r="J88" i="15"/>
  <c r="I88" i="15"/>
  <c r="K88" i="15" s="1"/>
  <c r="J87" i="15"/>
  <c r="I87" i="15"/>
  <c r="K87" i="15" s="1"/>
  <c r="J86" i="15"/>
  <c r="I86" i="15"/>
  <c r="K86" i="15" s="1"/>
  <c r="J85" i="15"/>
  <c r="I85" i="15"/>
  <c r="J84" i="15"/>
  <c r="I84" i="15"/>
  <c r="J83" i="15"/>
  <c r="I83" i="15"/>
  <c r="K83" i="15" s="1"/>
  <c r="J82" i="15"/>
  <c r="I82" i="15"/>
  <c r="K82" i="15" s="1"/>
  <c r="J81" i="15"/>
  <c r="I81" i="15"/>
  <c r="J80" i="15"/>
  <c r="I80" i="15"/>
  <c r="J79" i="15"/>
  <c r="J78" i="15"/>
  <c r="J77" i="15"/>
  <c r="J76" i="15"/>
  <c r="N74" i="15"/>
  <c r="L74" i="15"/>
  <c r="O74" i="15" s="1"/>
  <c r="L72" i="15"/>
  <c r="L71" i="15"/>
  <c r="N70" i="15"/>
  <c r="M70" i="15"/>
  <c r="O69" i="15"/>
  <c r="N67" i="15"/>
  <c r="M67" i="15"/>
  <c r="P67" i="15" s="1"/>
  <c r="L67" i="15"/>
  <c r="O67" i="15" s="1"/>
  <c r="J65" i="15"/>
  <c r="I65" i="15"/>
  <c r="J64" i="15"/>
  <c r="I64" i="15"/>
  <c r="N61" i="15"/>
  <c r="L61" i="15"/>
  <c r="L59" i="15"/>
  <c r="L58" i="15"/>
  <c r="N57" i="15"/>
  <c r="M57" i="15"/>
  <c r="N54" i="15"/>
  <c r="M54" i="15"/>
  <c r="L54" i="15"/>
  <c r="O54" i="15" s="1"/>
  <c r="N49" i="15"/>
  <c r="L49" i="15"/>
  <c r="M49" i="15" s="1"/>
  <c r="L47" i="15"/>
  <c r="L46" i="15"/>
  <c r="N45" i="15"/>
  <c r="M45" i="15"/>
  <c r="P42" i="15"/>
  <c r="N42" i="15"/>
  <c r="M42" i="15"/>
  <c r="L42" i="15"/>
  <c r="O42" i="15" s="1"/>
  <c r="P36" i="15"/>
  <c r="O36" i="15"/>
  <c r="P35" i="15"/>
  <c r="O35" i="15"/>
  <c r="P34" i="15"/>
  <c r="M34" i="15"/>
  <c r="P33" i="15"/>
  <c r="M33" i="15"/>
  <c r="M32" i="15"/>
  <c r="P31" i="15"/>
  <c r="M31" i="15"/>
  <c r="M29" i="15" s="1"/>
  <c r="P25" i="15"/>
  <c r="O25" i="15"/>
  <c r="N25" i="15"/>
  <c r="M25" i="15"/>
  <c r="L25" i="15"/>
  <c r="P24" i="15"/>
  <c r="N24" i="15"/>
  <c r="M24" i="15"/>
  <c r="N23" i="15"/>
  <c r="M23" i="15"/>
  <c r="O21" i="15"/>
  <c r="N21" i="15"/>
  <c r="N19" i="15" s="1"/>
  <c r="M21" i="15"/>
  <c r="M19" i="15" s="1"/>
  <c r="L21" i="15"/>
  <c r="L19" i="15" s="1"/>
  <c r="P15" i="15"/>
  <c r="O15" i="15"/>
  <c r="N15" i="15"/>
  <c r="M15" i="15"/>
  <c r="L15" i="15"/>
  <c r="M14" i="15"/>
  <c r="P14" i="15" s="1"/>
  <c r="J635" i="14"/>
  <c r="I635" i="14"/>
  <c r="J634" i="14"/>
  <c r="I634" i="14"/>
  <c r="J633" i="14"/>
  <c r="I633" i="14"/>
  <c r="J632" i="14"/>
  <c r="I632" i="14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K620" i="14" s="1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J594" i="14"/>
  <c r="I594" i="14"/>
  <c r="K594" i="14" s="1"/>
  <c r="J593" i="14"/>
  <c r="I593" i="14"/>
  <c r="J592" i="14"/>
  <c r="I592" i="14"/>
  <c r="K592" i="14" s="1"/>
  <c r="J591" i="14"/>
  <c r="I591" i="14"/>
  <c r="J590" i="14"/>
  <c r="I590" i="14"/>
  <c r="K590" i="14" s="1"/>
  <c r="J589" i="14"/>
  <c r="I589" i="14"/>
  <c r="N588" i="14"/>
  <c r="N587" i="14"/>
  <c r="N586" i="14"/>
  <c r="N585" i="14"/>
  <c r="N584" i="14"/>
  <c r="L584" i="14"/>
  <c r="N583" i="14"/>
  <c r="L583" i="14"/>
  <c r="O583" i="14" s="1"/>
  <c r="N582" i="14"/>
  <c r="L582" i="14"/>
  <c r="N581" i="14"/>
  <c r="L581" i="14"/>
  <c r="O581" i="14" s="1"/>
  <c r="N580" i="14"/>
  <c r="L580" i="14"/>
  <c r="J580" i="14"/>
  <c r="I580" i="14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1" i="14"/>
  <c r="I561" i="14"/>
  <c r="K561" i="14" s="1"/>
  <c r="J560" i="14"/>
  <c r="I560" i="14"/>
  <c r="K560" i="14" s="1"/>
  <c r="N559" i="14"/>
  <c r="N558" i="14"/>
  <c r="N557" i="14"/>
  <c r="N556" i="14"/>
  <c r="N555" i="14"/>
  <c r="L555" i="14"/>
  <c r="O555" i="14" s="1"/>
  <c r="N554" i="14"/>
  <c r="L554" i="14"/>
  <c r="O554" i="14" s="1"/>
  <c r="N553" i="14"/>
  <c r="L553" i="14"/>
  <c r="O553" i="14" s="1"/>
  <c r="N552" i="14"/>
  <c r="L552" i="14"/>
  <c r="N551" i="14"/>
  <c r="L551" i="14"/>
  <c r="O551" i="14" s="1"/>
  <c r="J551" i="14"/>
  <c r="I551" i="14"/>
  <c r="K551" i="14" s="1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J498" i="14"/>
  <c r="I498" i="14"/>
  <c r="J497" i="14"/>
  <c r="I497" i="14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J424" i="14"/>
  <c r="I424" i="14"/>
  <c r="J423" i="14"/>
  <c r="I423" i="14"/>
  <c r="J422" i="14"/>
  <c r="I422" i="14"/>
  <c r="J421" i="14"/>
  <c r="I421" i="14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I381" i="14"/>
  <c r="N380" i="14"/>
  <c r="L380" i="14"/>
  <c r="J380" i="14"/>
  <c r="I380" i="14"/>
  <c r="J379" i="14"/>
  <c r="J378" i="14"/>
  <c r="J377" i="14"/>
  <c r="I377" i="14"/>
  <c r="J376" i="14"/>
  <c r="I376" i="14"/>
  <c r="K376" i="14" s="1"/>
  <c r="J375" i="14"/>
  <c r="I375" i="14"/>
  <c r="J374" i="14"/>
  <c r="I374" i="14"/>
  <c r="J373" i="14"/>
  <c r="I373" i="14"/>
  <c r="K373" i="14" s="1"/>
  <c r="J372" i="14"/>
  <c r="I372" i="14"/>
  <c r="J371" i="14"/>
  <c r="I371" i="14"/>
  <c r="K371" i="14" s="1"/>
  <c r="J370" i="14"/>
  <c r="I370" i="14"/>
  <c r="J369" i="14"/>
  <c r="I369" i="14"/>
  <c r="K369" i="14" s="1"/>
  <c r="J368" i="14"/>
  <c r="I368" i="14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N353" i="14"/>
  <c r="L353" i="14"/>
  <c r="O353" i="14" s="1"/>
  <c r="N352" i="14"/>
  <c r="L352" i="14"/>
  <c r="N351" i="14"/>
  <c r="L351" i="14"/>
  <c r="O351" i="14" s="1"/>
  <c r="J350" i="14"/>
  <c r="I350" i="14"/>
  <c r="N349" i="14"/>
  <c r="L349" i="14"/>
  <c r="J349" i="14"/>
  <c r="I349" i="14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M337" i="14" s="1"/>
  <c r="L335" i="14"/>
  <c r="L334" i="14"/>
  <c r="N333" i="14"/>
  <c r="M333" i="14"/>
  <c r="O332" i="14"/>
  <c r="P330" i="14"/>
  <c r="N330" i="14"/>
  <c r="M330" i="14"/>
  <c r="L330" i="14"/>
  <c r="O330" i="14" s="1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P314" i="14" s="1"/>
  <c r="O313" i="14"/>
  <c r="N311" i="14"/>
  <c r="M311" i="14"/>
  <c r="P311" i="14" s="1"/>
  <c r="L311" i="14"/>
  <c r="O311" i="14" s="1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P294" i="14" s="1"/>
  <c r="O293" i="14"/>
  <c r="O291" i="14"/>
  <c r="N291" i="14"/>
  <c r="M291" i="14"/>
  <c r="P291" i="14" s="1"/>
  <c r="L291" i="14"/>
  <c r="J289" i="14"/>
  <c r="I289" i="14"/>
  <c r="K289" i="14" s="1"/>
  <c r="J287" i="14"/>
  <c r="J286" i="14"/>
  <c r="J285" i="14"/>
  <c r="I285" i="14"/>
  <c r="J284" i="14"/>
  <c r="J283" i="14"/>
  <c r="J282" i="14"/>
  <c r="J281" i="14"/>
  <c r="N279" i="14"/>
  <c r="L279" i="14"/>
  <c r="O279" i="14" s="1"/>
  <c r="L277" i="14"/>
  <c r="L276" i="14"/>
  <c r="N275" i="14"/>
  <c r="M275" i="14"/>
  <c r="M273" i="14" s="1"/>
  <c r="O274" i="14"/>
  <c r="N272" i="14"/>
  <c r="M272" i="14"/>
  <c r="L272" i="14"/>
  <c r="O272" i="14" s="1"/>
  <c r="J270" i="14"/>
  <c r="I270" i="14"/>
  <c r="J269" i="14"/>
  <c r="J268" i="14"/>
  <c r="J267" i="14"/>
  <c r="I267" i="14"/>
  <c r="J266" i="14"/>
  <c r="I266" i="14"/>
  <c r="J265" i="14"/>
  <c r="I265" i="14"/>
  <c r="J264" i="14"/>
  <c r="I264" i="14"/>
  <c r="J263" i="14"/>
  <c r="J262" i="14"/>
  <c r="J261" i="14"/>
  <c r="J260" i="14"/>
  <c r="N258" i="14"/>
  <c r="L258" i="14"/>
  <c r="O258" i="14" s="1"/>
  <c r="L256" i="14"/>
  <c r="L255" i="14"/>
  <c r="N254" i="14"/>
  <c r="M254" i="14"/>
  <c r="O253" i="14"/>
  <c r="P251" i="14"/>
  <c r="N251" i="14"/>
  <c r="M251" i="14"/>
  <c r="L251" i="14"/>
  <c r="J249" i="14"/>
  <c r="I249" i="14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O223" i="14"/>
  <c r="O221" i="14"/>
  <c r="N221" i="14"/>
  <c r="M221" i="14"/>
  <c r="P221" i="14" s="1"/>
  <c r="L221" i="14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J185" i="14"/>
  <c r="I185" i="14"/>
  <c r="J184" i="14"/>
  <c r="J183" i="14"/>
  <c r="J182" i="14"/>
  <c r="J181" i="14"/>
  <c r="J176" i="14"/>
  <c r="I176" i="14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O143" i="14"/>
  <c r="P141" i="14"/>
  <c r="N141" i="14"/>
  <c r="M141" i="14"/>
  <c r="L141" i="14"/>
  <c r="J138" i="14"/>
  <c r="I138" i="14"/>
  <c r="K138" i="14" s="1"/>
  <c r="J135" i="14"/>
  <c r="J134" i="14"/>
  <c r="J133" i="14"/>
  <c r="I133" i="14"/>
  <c r="K133" i="14" s="1"/>
  <c r="J132" i="14"/>
  <c r="I132" i="14"/>
  <c r="K132" i="14" s="1"/>
  <c r="J131" i="14"/>
  <c r="J130" i="14"/>
  <c r="J129" i="14"/>
  <c r="J128" i="14"/>
  <c r="N126" i="14"/>
  <c r="L126" i="14"/>
  <c r="O126" i="14" s="1"/>
  <c r="L124" i="14"/>
  <c r="L123" i="14"/>
  <c r="N122" i="14"/>
  <c r="M122" i="14"/>
  <c r="P122" i="14" s="1"/>
  <c r="O121" i="14"/>
  <c r="N119" i="14"/>
  <c r="M119" i="14"/>
  <c r="L119" i="14"/>
  <c r="O119" i="14" s="1"/>
  <c r="J117" i="14"/>
  <c r="I117" i="14"/>
  <c r="K117" i="14" s="1"/>
  <c r="J115" i="14"/>
  <c r="J114" i="14"/>
  <c r="J113" i="14"/>
  <c r="I113" i="14"/>
  <c r="K113" i="14" s="1"/>
  <c r="J112" i="14"/>
  <c r="I112" i="14"/>
  <c r="K112" i="14" s="1"/>
  <c r="J111" i="14"/>
  <c r="I111" i="14"/>
  <c r="K111" i="14" s="1"/>
  <c r="J110" i="14"/>
  <c r="I110" i="14"/>
  <c r="K110" i="14" s="1"/>
  <c r="J109" i="14"/>
  <c r="I109" i="14"/>
  <c r="K109" i="14" s="1"/>
  <c r="J108" i="14"/>
  <c r="I108" i="14"/>
  <c r="K108" i="14" s="1"/>
  <c r="J107" i="14"/>
  <c r="J106" i="14"/>
  <c r="J105" i="14"/>
  <c r="J104" i="14"/>
  <c r="N102" i="14"/>
  <c r="L102" i="14"/>
  <c r="L100" i="14"/>
  <c r="L99" i="14"/>
  <c r="N98" i="14"/>
  <c r="M98" i="14"/>
  <c r="O97" i="14"/>
  <c r="P95" i="14"/>
  <c r="O95" i="14"/>
  <c r="N95" i="14"/>
  <c r="M95" i="14"/>
  <c r="L95" i="14"/>
  <c r="J93" i="14"/>
  <c r="I93" i="14"/>
  <c r="K93" i="14" s="1"/>
  <c r="J92" i="14"/>
  <c r="I92" i="14"/>
  <c r="K92" i="14" s="1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J84" i="14"/>
  <c r="I84" i="14"/>
  <c r="J83" i="14"/>
  <c r="I83" i="14"/>
  <c r="K83" i="14" s="1"/>
  <c r="J82" i="14"/>
  <c r="I82" i="14"/>
  <c r="K82" i="14" s="1"/>
  <c r="J81" i="14"/>
  <c r="I81" i="14"/>
  <c r="J80" i="14"/>
  <c r="I80" i="14"/>
  <c r="J79" i="14"/>
  <c r="J78" i="14"/>
  <c r="J77" i="14"/>
  <c r="J76" i="14"/>
  <c r="N74" i="14"/>
  <c r="L74" i="14"/>
  <c r="O74" i="14" s="1"/>
  <c r="L72" i="14"/>
  <c r="L71" i="14"/>
  <c r="N70" i="14"/>
  <c r="M70" i="14"/>
  <c r="M68" i="14" s="1"/>
  <c r="M66" i="14" s="1"/>
  <c r="O69" i="14"/>
  <c r="P67" i="14"/>
  <c r="O67" i="14"/>
  <c r="N67" i="14"/>
  <c r="M67" i="14"/>
  <c r="L67" i="14"/>
  <c r="J65" i="14"/>
  <c r="I65" i="14"/>
  <c r="J64" i="14"/>
  <c r="I64" i="14"/>
  <c r="N61" i="14"/>
  <c r="L61" i="14"/>
  <c r="O61" i="14" s="1"/>
  <c r="L59" i="14"/>
  <c r="L58" i="14"/>
  <c r="N57" i="14"/>
  <c r="M57" i="14"/>
  <c r="M55" i="14" s="1"/>
  <c r="P54" i="14"/>
  <c r="O54" i="14"/>
  <c r="N54" i="14"/>
  <c r="M54" i="14"/>
  <c r="L54" i="14"/>
  <c r="N49" i="14"/>
  <c r="L49" i="14"/>
  <c r="L47" i="14"/>
  <c r="L46" i="14"/>
  <c r="N45" i="14"/>
  <c r="M45" i="14"/>
  <c r="N42" i="14"/>
  <c r="M42" i="14"/>
  <c r="L42" i="14"/>
  <c r="O42" i="14" s="1"/>
  <c r="P36" i="14"/>
  <c r="O36" i="14"/>
  <c r="P35" i="14"/>
  <c r="O35" i="14"/>
  <c r="P34" i="14"/>
  <c r="M34" i="14"/>
  <c r="M33" i="14"/>
  <c r="P32" i="14"/>
  <c r="M32" i="14"/>
  <c r="M31" i="14"/>
  <c r="P31" i="14" s="1"/>
  <c r="P30" i="14"/>
  <c r="M30" i="14"/>
  <c r="M29" i="14"/>
  <c r="P29" i="14" s="1"/>
  <c r="P25" i="14"/>
  <c r="N25" i="14"/>
  <c r="M25" i="14"/>
  <c r="L25" i="14"/>
  <c r="O25" i="14" s="1"/>
  <c r="N24" i="14"/>
  <c r="M24" i="14"/>
  <c r="P23" i="14"/>
  <c r="N23" i="14"/>
  <c r="M23" i="14"/>
  <c r="P21" i="14"/>
  <c r="N21" i="14"/>
  <c r="M21" i="14"/>
  <c r="L21" i="14"/>
  <c r="N19" i="14"/>
  <c r="M19" i="14"/>
  <c r="P19" i="14" s="1"/>
  <c r="N15" i="14"/>
  <c r="M15" i="14"/>
  <c r="P15" i="14" s="1"/>
  <c r="M11" i="14"/>
  <c r="P11" i="14" s="1"/>
  <c r="J635" i="13"/>
  <c r="I635" i="13"/>
  <c r="J634" i="13"/>
  <c r="I634" i="13"/>
  <c r="J633" i="13"/>
  <c r="I633" i="13"/>
  <c r="J632" i="13"/>
  <c r="I632" i="13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J594" i="13"/>
  <c r="I594" i="13"/>
  <c r="K594" i="13" s="1"/>
  <c r="J593" i="13"/>
  <c r="I593" i="13"/>
  <c r="J592" i="13"/>
  <c r="I592" i="13"/>
  <c r="K592" i="13" s="1"/>
  <c r="J591" i="13"/>
  <c r="I591" i="13"/>
  <c r="J590" i="13"/>
  <c r="I590" i="13"/>
  <c r="K590" i="13" s="1"/>
  <c r="J589" i="13"/>
  <c r="I589" i="13"/>
  <c r="N588" i="13"/>
  <c r="N587" i="13"/>
  <c r="N586" i="13"/>
  <c r="N585" i="13"/>
  <c r="N584" i="13"/>
  <c r="L584" i="13"/>
  <c r="N583" i="13"/>
  <c r="L583" i="13"/>
  <c r="O583" i="13" s="1"/>
  <c r="N582" i="13"/>
  <c r="L582" i="13"/>
  <c r="N581" i="13"/>
  <c r="L581" i="13"/>
  <c r="O581" i="13" s="1"/>
  <c r="N580" i="13"/>
  <c r="L580" i="13"/>
  <c r="J580" i="13"/>
  <c r="I580" i="13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N566" i="13"/>
  <c r="L566" i="13"/>
  <c r="N565" i="13"/>
  <c r="L565" i="13"/>
  <c r="O565" i="13" s="1"/>
  <c r="N564" i="13"/>
  <c r="L564" i="13"/>
  <c r="J564" i="13"/>
  <c r="I564" i="13"/>
  <c r="J561" i="13"/>
  <c r="I561" i="13"/>
  <c r="K561" i="13" s="1"/>
  <c r="J560" i="13"/>
  <c r="I560" i="13"/>
  <c r="N559" i="13"/>
  <c r="N558" i="13"/>
  <c r="N557" i="13"/>
  <c r="N556" i="13"/>
  <c r="N555" i="13"/>
  <c r="L555" i="13"/>
  <c r="N554" i="13"/>
  <c r="L554" i="13"/>
  <c r="O554" i="13" s="1"/>
  <c r="N553" i="13"/>
  <c r="L553" i="13"/>
  <c r="N552" i="13"/>
  <c r="L552" i="13"/>
  <c r="O552" i="13" s="1"/>
  <c r="N551" i="13"/>
  <c r="L551" i="13"/>
  <c r="J551" i="13"/>
  <c r="I551" i="13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N435" i="13"/>
  <c r="L435" i="13"/>
  <c r="J435" i="13"/>
  <c r="I435" i="13"/>
  <c r="J434" i="13"/>
  <c r="J433" i="13"/>
  <c r="J432" i="13"/>
  <c r="I432" i="13"/>
  <c r="J431" i="13"/>
  <c r="I431" i="13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J419" i="13"/>
  <c r="I419" i="13"/>
  <c r="J418" i="13"/>
  <c r="I418" i="13"/>
  <c r="J417" i="13"/>
  <c r="I417" i="13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J397" i="13"/>
  <c r="I397" i="13"/>
  <c r="J396" i="13"/>
  <c r="I396" i="13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O384" i="13" s="1"/>
  <c r="N383" i="13"/>
  <c r="L383" i="13"/>
  <c r="N382" i="13"/>
  <c r="L382" i="13"/>
  <c r="O382" i="13" s="1"/>
  <c r="J381" i="13"/>
  <c r="I381" i="13"/>
  <c r="N380" i="13"/>
  <c r="L380" i="13"/>
  <c r="J380" i="13"/>
  <c r="I380" i="13"/>
  <c r="J379" i="13"/>
  <c r="J378" i="13"/>
  <c r="J377" i="13"/>
  <c r="I377" i="13"/>
  <c r="J376" i="13"/>
  <c r="I376" i="13"/>
  <c r="J375" i="13"/>
  <c r="I375" i="13"/>
  <c r="J374" i="13"/>
  <c r="I374" i="13"/>
  <c r="J373" i="13"/>
  <c r="I373" i="13"/>
  <c r="K373" i="13" s="1"/>
  <c r="J372" i="13"/>
  <c r="I372" i="13"/>
  <c r="J371" i="13"/>
  <c r="I371" i="13"/>
  <c r="K371" i="13" s="1"/>
  <c r="J370" i="13"/>
  <c r="I370" i="13"/>
  <c r="J369" i="13"/>
  <c r="I369" i="13"/>
  <c r="K369" i="13" s="1"/>
  <c r="J368" i="13"/>
  <c r="I368" i="13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O353" i="13" s="1"/>
  <c r="N352" i="13"/>
  <c r="L352" i="13"/>
  <c r="N351" i="13"/>
  <c r="L351" i="13"/>
  <c r="O351" i="13" s="1"/>
  <c r="J350" i="13"/>
  <c r="I350" i="13"/>
  <c r="N349" i="13"/>
  <c r="L349" i="13"/>
  <c r="J349" i="13"/>
  <c r="I349" i="13"/>
  <c r="N347" i="13"/>
  <c r="L347" i="13"/>
  <c r="J346" i="13"/>
  <c r="I346" i="13"/>
  <c r="K346" i="13" s="1"/>
  <c r="J345" i="13"/>
  <c r="I345" i="13"/>
  <c r="J344" i="13"/>
  <c r="I344" i="13"/>
  <c r="K344" i="13" s="1"/>
  <c r="J343" i="13"/>
  <c r="I343" i="13"/>
  <c r="J342" i="13"/>
  <c r="I342" i="13"/>
  <c r="K342" i="13" s="1"/>
  <c r="J341" i="13"/>
  <c r="I341" i="13"/>
  <c r="J340" i="13"/>
  <c r="I340" i="13"/>
  <c r="J339" i="13"/>
  <c r="I339" i="13"/>
  <c r="K339" i="13" s="1"/>
  <c r="N337" i="13"/>
  <c r="L337" i="13"/>
  <c r="O337" i="13" s="1"/>
  <c r="L335" i="13"/>
  <c r="L334" i="13"/>
  <c r="N333" i="13"/>
  <c r="M333" i="13"/>
  <c r="O332" i="13"/>
  <c r="P330" i="13"/>
  <c r="N330" i="13"/>
  <c r="M330" i="13"/>
  <c r="L330" i="13"/>
  <c r="O330" i="13" s="1"/>
  <c r="J328" i="13"/>
  <c r="I328" i="13"/>
  <c r="J326" i="13"/>
  <c r="J325" i="13"/>
  <c r="J324" i="13"/>
  <c r="I324" i="13"/>
  <c r="K324" i="13" s="1"/>
  <c r="J323" i="13"/>
  <c r="J322" i="13"/>
  <c r="J321" i="13"/>
  <c r="J320" i="13"/>
  <c r="N318" i="13"/>
  <c r="L318" i="13"/>
  <c r="L316" i="13"/>
  <c r="L315" i="13"/>
  <c r="N314" i="13"/>
  <c r="M314" i="13"/>
  <c r="O313" i="13"/>
  <c r="N311" i="13"/>
  <c r="M311" i="13"/>
  <c r="P311" i="13" s="1"/>
  <c r="L311" i="13"/>
  <c r="O311" i="13" s="1"/>
  <c r="J309" i="13"/>
  <c r="I309" i="13"/>
  <c r="K309" i="13" s="1"/>
  <c r="J308" i="13"/>
  <c r="J307" i="13"/>
  <c r="J306" i="13"/>
  <c r="I306" i="13"/>
  <c r="K306" i="13" s="1"/>
  <c r="J304" i="13"/>
  <c r="I304" i="13"/>
  <c r="K304" i="13" s="1"/>
  <c r="J303" i="13"/>
  <c r="J302" i="13"/>
  <c r="J301" i="13"/>
  <c r="J300" i="13"/>
  <c r="N298" i="13"/>
  <c r="L298" i="13"/>
  <c r="O298" i="13" s="1"/>
  <c r="L296" i="13"/>
  <c r="L295" i="13"/>
  <c r="N294" i="13"/>
  <c r="M294" i="13"/>
  <c r="O293" i="13"/>
  <c r="O291" i="13"/>
  <c r="N291" i="13"/>
  <c r="M291" i="13"/>
  <c r="P291" i="13" s="1"/>
  <c r="L291" i="13"/>
  <c r="J289" i="13"/>
  <c r="I289" i="13"/>
  <c r="K289" i="13" s="1"/>
  <c r="J287" i="13"/>
  <c r="J286" i="13"/>
  <c r="J285" i="13"/>
  <c r="I285" i="13"/>
  <c r="J284" i="13"/>
  <c r="J283" i="13"/>
  <c r="J282" i="13"/>
  <c r="J281" i="13"/>
  <c r="N279" i="13"/>
  <c r="L279" i="13"/>
  <c r="O279" i="13" s="1"/>
  <c r="L277" i="13"/>
  <c r="L276" i="13"/>
  <c r="N275" i="13"/>
  <c r="M275" i="13"/>
  <c r="O274" i="13"/>
  <c r="N272" i="13"/>
  <c r="M272" i="13"/>
  <c r="L272" i="13"/>
  <c r="O272" i="13" s="1"/>
  <c r="J270" i="13"/>
  <c r="I270" i="13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P254" i="13" s="1"/>
  <c r="O253" i="13"/>
  <c r="P251" i="13"/>
  <c r="N251" i="13"/>
  <c r="M251" i="13"/>
  <c r="L251" i="13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O223" i="13"/>
  <c r="N221" i="13"/>
  <c r="M221" i="13"/>
  <c r="P221" i="13" s="1"/>
  <c r="L221" i="13"/>
  <c r="O221" i="13" s="1"/>
  <c r="J219" i="13"/>
  <c r="I219" i="13"/>
  <c r="J218" i="13"/>
  <c r="J217" i="13"/>
  <c r="J216" i="13"/>
  <c r="I216" i="13"/>
  <c r="K216" i="13" s="1"/>
  <c r="J215" i="13"/>
  <c r="I215" i="13"/>
  <c r="K215" i="13" s="1"/>
  <c r="J213" i="13"/>
  <c r="I213" i="13"/>
  <c r="K213" i="13" s="1"/>
  <c r="J212" i="13"/>
  <c r="J211" i="13"/>
  <c r="J210" i="13"/>
  <c r="J209" i="13"/>
  <c r="J204" i="13"/>
  <c r="I204" i="13"/>
  <c r="K204" i="13" s="1"/>
  <c r="J203" i="13"/>
  <c r="J202" i="13"/>
  <c r="J201" i="13"/>
  <c r="I201" i="13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J185" i="13"/>
  <c r="I185" i="13"/>
  <c r="J184" i="13"/>
  <c r="J183" i="13"/>
  <c r="J182" i="13"/>
  <c r="J181" i="13"/>
  <c r="J176" i="13"/>
  <c r="I176" i="13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O143" i="13"/>
  <c r="P141" i="13"/>
  <c r="N141" i="13"/>
  <c r="M141" i="13"/>
  <c r="L141" i="13"/>
  <c r="J138" i="13"/>
  <c r="I138" i="13"/>
  <c r="J135" i="13"/>
  <c r="J134" i="13"/>
  <c r="J133" i="13"/>
  <c r="I133" i="13"/>
  <c r="K133" i="13" s="1"/>
  <c r="J132" i="13"/>
  <c r="I132" i="13"/>
  <c r="K132" i="13" s="1"/>
  <c r="J131" i="13"/>
  <c r="J130" i="13"/>
  <c r="J129" i="13"/>
  <c r="J128" i="13"/>
  <c r="N126" i="13"/>
  <c r="L126" i="13"/>
  <c r="O126" i="13" s="1"/>
  <c r="L124" i="13"/>
  <c r="L123" i="13"/>
  <c r="N122" i="13"/>
  <c r="M122" i="13"/>
  <c r="P122" i="13" s="1"/>
  <c r="O121" i="13"/>
  <c r="N119" i="13"/>
  <c r="M119" i="13"/>
  <c r="L119" i="13"/>
  <c r="O119" i="13" s="1"/>
  <c r="J117" i="13"/>
  <c r="I117" i="13"/>
  <c r="K117" i="13" s="1"/>
  <c r="J115" i="13"/>
  <c r="J114" i="13"/>
  <c r="J113" i="13"/>
  <c r="I113" i="13"/>
  <c r="J112" i="13"/>
  <c r="I112" i="13"/>
  <c r="J111" i="13"/>
  <c r="I111" i="13"/>
  <c r="J110" i="13"/>
  <c r="I110" i="13"/>
  <c r="J109" i="13"/>
  <c r="I109" i="13"/>
  <c r="J108" i="13"/>
  <c r="I108" i="13"/>
  <c r="J107" i="13"/>
  <c r="J106" i="13"/>
  <c r="J105" i="13"/>
  <c r="J104" i="13"/>
  <c r="N102" i="13"/>
  <c r="L102" i="13"/>
  <c r="L100" i="13"/>
  <c r="L99" i="13"/>
  <c r="N98" i="13"/>
  <c r="M98" i="13"/>
  <c r="O97" i="13"/>
  <c r="P95" i="13"/>
  <c r="N95" i="13"/>
  <c r="M95" i="13"/>
  <c r="L95" i="13"/>
  <c r="J93" i="13"/>
  <c r="I93" i="13"/>
  <c r="J92" i="13"/>
  <c r="I92" i="13"/>
  <c r="J90" i="13"/>
  <c r="J89" i="13"/>
  <c r="J88" i="13"/>
  <c r="I88" i="13"/>
  <c r="K88" i="13" s="1"/>
  <c r="J87" i="13"/>
  <c r="I87" i="13"/>
  <c r="K87" i="13" s="1"/>
  <c r="J86" i="13"/>
  <c r="I86" i="13"/>
  <c r="K86" i="13" s="1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K81" i="13" s="1"/>
  <c r="J80" i="13"/>
  <c r="I80" i="13"/>
  <c r="K80" i="13" s="1"/>
  <c r="J79" i="13"/>
  <c r="J78" i="13"/>
  <c r="J77" i="13"/>
  <c r="J76" i="13"/>
  <c r="N74" i="13"/>
  <c r="L74" i="13"/>
  <c r="O74" i="13" s="1"/>
  <c r="L72" i="13"/>
  <c r="L71" i="13"/>
  <c r="N70" i="13"/>
  <c r="M70" i="13"/>
  <c r="M68" i="13" s="1"/>
  <c r="P68" i="13" s="1"/>
  <c r="O69" i="13"/>
  <c r="N67" i="13"/>
  <c r="M67" i="13"/>
  <c r="L67" i="13"/>
  <c r="O67" i="13" s="1"/>
  <c r="J65" i="13"/>
  <c r="I65" i="13"/>
  <c r="K65" i="13" s="1"/>
  <c r="J64" i="13"/>
  <c r="I64" i="13"/>
  <c r="K64" i="13" s="1"/>
  <c r="N61" i="13"/>
  <c r="L61" i="13"/>
  <c r="O61" i="13" s="1"/>
  <c r="L59" i="13"/>
  <c r="L58" i="13"/>
  <c r="N57" i="13"/>
  <c r="M57" i="13"/>
  <c r="M55" i="13" s="1"/>
  <c r="P54" i="13"/>
  <c r="N54" i="13"/>
  <c r="M54" i="13"/>
  <c r="L54" i="13"/>
  <c r="N49" i="13"/>
  <c r="L49" i="13"/>
  <c r="M49" i="13" s="1"/>
  <c r="L47" i="13"/>
  <c r="L46" i="13"/>
  <c r="N45" i="13"/>
  <c r="M45" i="13"/>
  <c r="O42" i="13"/>
  <c r="N42" i="13"/>
  <c r="M42" i="13"/>
  <c r="P42" i="13" s="1"/>
  <c r="L42" i="13"/>
  <c r="P36" i="13"/>
  <c r="O36" i="13"/>
  <c r="P35" i="13"/>
  <c r="O35" i="13"/>
  <c r="P34" i="13"/>
  <c r="M34" i="13"/>
  <c r="M33" i="13"/>
  <c r="P33" i="13" s="1"/>
  <c r="P32" i="13"/>
  <c r="M32" i="13"/>
  <c r="M30" i="13" s="1"/>
  <c r="P30" i="13" s="1"/>
  <c r="M31" i="13"/>
  <c r="P31" i="13" s="1"/>
  <c r="N25" i="13"/>
  <c r="N15" i="13" s="1"/>
  <c r="M25" i="13"/>
  <c r="P25" i="13" s="1"/>
  <c r="L25" i="13"/>
  <c r="O25" i="13" s="1"/>
  <c r="N24" i="13"/>
  <c r="M24" i="13"/>
  <c r="P24" i="13" s="1"/>
  <c r="P23" i="13"/>
  <c r="N23" i="13"/>
  <c r="M23" i="13"/>
  <c r="N21" i="13"/>
  <c r="M21" i="13"/>
  <c r="M19" i="13" s="1"/>
  <c r="L21" i="13"/>
  <c r="O21" i="13" s="1"/>
  <c r="P19" i="13"/>
  <c r="L19" i="13"/>
  <c r="O19" i="13" s="1"/>
  <c r="O15" i="13"/>
  <c r="M15" i="13"/>
  <c r="P15" i="13" s="1"/>
  <c r="L15" i="13"/>
  <c r="P14" i="13"/>
  <c r="M14" i="13"/>
  <c r="M13" i="13"/>
  <c r="P13" i="13" s="1"/>
  <c r="M11" i="13"/>
  <c r="P11" i="13" s="1"/>
  <c r="M9" i="13"/>
  <c r="J635" i="12"/>
  <c r="I635" i="12"/>
  <c r="J634" i="12"/>
  <c r="I634" i="12"/>
  <c r="J633" i="12"/>
  <c r="I633" i="12"/>
  <c r="K633" i="12" s="1"/>
  <c r="J632" i="12"/>
  <c r="I632" i="12"/>
  <c r="K632" i="12" s="1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J594" i="12"/>
  <c r="I594" i="12"/>
  <c r="K594" i="12" s="1"/>
  <c r="J593" i="12"/>
  <c r="I593" i="12"/>
  <c r="J592" i="12"/>
  <c r="I592" i="12"/>
  <c r="K592" i="12" s="1"/>
  <c r="J591" i="12"/>
  <c r="I591" i="12"/>
  <c r="J590" i="12"/>
  <c r="I590" i="12"/>
  <c r="K590" i="12" s="1"/>
  <c r="J589" i="12"/>
  <c r="I589" i="12"/>
  <c r="N588" i="12"/>
  <c r="N587" i="12"/>
  <c r="N586" i="12"/>
  <c r="N585" i="12"/>
  <c r="N584" i="12"/>
  <c r="L584" i="12"/>
  <c r="N583" i="12"/>
  <c r="L583" i="12"/>
  <c r="O583" i="12" s="1"/>
  <c r="N582" i="12"/>
  <c r="L582" i="12"/>
  <c r="N581" i="12"/>
  <c r="L581" i="12"/>
  <c r="O581" i="12" s="1"/>
  <c r="N580" i="12"/>
  <c r="L580" i="12"/>
  <c r="J580" i="12"/>
  <c r="I580" i="12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J481" i="12"/>
  <c r="I481" i="12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J473" i="12"/>
  <c r="I473" i="12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J465" i="12"/>
  <c r="I465" i="12"/>
  <c r="J464" i="12"/>
  <c r="I464" i="12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N382" i="12"/>
  <c r="L382" i="12"/>
  <c r="O382" i="12" s="1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J375" i="12"/>
  <c r="I375" i="12"/>
  <c r="J374" i="12"/>
  <c r="I374" i="12"/>
  <c r="J373" i="12"/>
  <c r="I373" i="12"/>
  <c r="K373" i="12" s="1"/>
  <c r="J372" i="12"/>
  <c r="I372" i="12"/>
  <c r="J371" i="12"/>
  <c r="I371" i="12"/>
  <c r="J370" i="12"/>
  <c r="I370" i="12"/>
  <c r="J369" i="12"/>
  <c r="I369" i="12"/>
  <c r="K369" i="12" s="1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O353" i="12" s="1"/>
  <c r="N352" i="12"/>
  <c r="L352" i="12"/>
  <c r="N351" i="12"/>
  <c r="L351" i="12"/>
  <c r="O351" i="12" s="1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M337" i="12" s="1"/>
  <c r="L335" i="12"/>
  <c r="L334" i="12"/>
  <c r="N333" i="12"/>
  <c r="M333" i="12"/>
  <c r="O332" i="12"/>
  <c r="P330" i="12"/>
  <c r="N330" i="12"/>
  <c r="M330" i="12"/>
  <c r="L330" i="12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P314" i="12" s="1"/>
  <c r="O313" i="12"/>
  <c r="P311" i="12"/>
  <c r="O311" i="12"/>
  <c r="N311" i="12"/>
  <c r="M311" i="12"/>
  <c r="L311" i="12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M292" i="12" s="1"/>
  <c r="O293" i="12"/>
  <c r="P291" i="12"/>
  <c r="O291" i="12"/>
  <c r="N291" i="12"/>
  <c r="M291" i="12"/>
  <c r="L291" i="12"/>
  <c r="J289" i="12"/>
  <c r="I289" i="12"/>
  <c r="K289" i="12" s="1"/>
  <c r="J287" i="12"/>
  <c r="J286" i="12"/>
  <c r="J285" i="12"/>
  <c r="I285" i="12"/>
  <c r="J284" i="12"/>
  <c r="J283" i="12"/>
  <c r="J282" i="12"/>
  <c r="J281" i="12"/>
  <c r="N279" i="12"/>
  <c r="L279" i="12"/>
  <c r="O279" i="12" s="1"/>
  <c r="L277" i="12"/>
  <c r="L276" i="12"/>
  <c r="N275" i="12"/>
  <c r="M275" i="12"/>
  <c r="M273" i="12" s="1"/>
  <c r="O274" i="12"/>
  <c r="O272" i="12"/>
  <c r="N272" i="12"/>
  <c r="M272" i="12"/>
  <c r="P272" i="12" s="1"/>
  <c r="L272" i="12"/>
  <c r="J270" i="12"/>
  <c r="I270" i="12"/>
  <c r="J269" i="12"/>
  <c r="J268" i="12"/>
  <c r="J267" i="12"/>
  <c r="I267" i="12"/>
  <c r="K267" i="12" s="1"/>
  <c r="J266" i="12"/>
  <c r="I266" i="12"/>
  <c r="K266" i="12" s="1"/>
  <c r="J265" i="12"/>
  <c r="I265" i="12"/>
  <c r="K265" i="12" s="1"/>
  <c r="J264" i="12"/>
  <c r="I264" i="12"/>
  <c r="K264" i="12" s="1"/>
  <c r="J263" i="12"/>
  <c r="J262" i="12"/>
  <c r="J261" i="12"/>
  <c r="J260" i="12"/>
  <c r="N258" i="12"/>
  <c r="L258" i="12"/>
  <c r="O258" i="12" s="1"/>
  <c r="L256" i="12"/>
  <c r="L255" i="12"/>
  <c r="N254" i="12"/>
  <c r="M254" i="12"/>
  <c r="O253" i="12"/>
  <c r="P251" i="12"/>
  <c r="N251" i="12"/>
  <c r="M251" i="12"/>
  <c r="L251" i="12"/>
  <c r="O251" i="12" s="1"/>
  <c r="J249" i="12"/>
  <c r="I249" i="12"/>
  <c r="K249" i="12" s="1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M222" i="12" s="1"/>
  <c r="O223" i="12"/>
  <c r="N221" i="12"/>
  <c r="M221" i="12"/>
  <c r="L221" i="12"/>
  <c r="O221" i="12" s="1"/>
  <c r="J219" i="12"/>
  <c r="I219" i="12"/>
  <c r="J218" i="12"/>
  <c r="J217" i="12"/>
  <c r="J216" i="12"/>
  <c r="I216" i="12"/>
  <c r="K216" i="12" s="1"/>
  <c r="J215" i="12"/>
  <c r="I215" i="12"/>
  <c r="K215" i="12" s="1"/>
  <c r="J213" i="12"/>
  <c r="I213" i="12"/>
  <c r="K213" i="12" s="1"/>
  <c r="J212" i="12"/>
  <c r="J211" i="12"/>
  <c r="J210" i="12"/>
  <c r="J209" i="12"/>
  <c r="J204" i="12"/>
  <c r="I204" i="12"/>
  <c r="K204" i="12" s="1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O143" i="12"/>
  <c r="P141" i="12"/>
  <c r="N141" i="12"/>
  <c r="M141" i="12"/>
  <c r="L141" i="12"/>
  <c r="O141" i="12" s="1"/>
  <c r="J138" i="12"/>
  <c r="I138" i="12"/>
  <c r="K138" i="12" s="1"/>
  <c r="J135" i="12"/>
  <c r="J134" i="12"/>
  <c r="J133" i="12"/>
  <c r="I133" i="12"/>
  <c r="K133" i="12" s="1"/>
  <c r="J132" i="12"/>
  <c r="I132" i="12"/>
  <c r="K132" i="12" s="1"/>
  <c r="J131" i="12"/>
  <c r="J130" i="12"/>
  <c r="J129" i="12"/>
  <c r="J128" i="12"/>
  <c r="N126" i="12"/>
  <c r="L126" i="12"/>
  <c r="O126" i="12" s="1"/>
  <c r="L124" i="12"/>
  <c r="L123" i="12"/>
  <c r="N122" i="12"/>
  <c r="M122" i="12"/>
  <c r="P122" i="12" s="1"/>
  <c r="O121" i="12"/>
  <c r="O119" i="12"/>
  <c r="N119" i="12"/>
  <c r="M119" i="12"/>
  <c r="P119" i="12" s="1"/>
  <c r="L119" i="12"/>
  <c r="J117" i="12"/>
  <c r="I117" i="12"/>
  <c r="K117" i="12" s="1"/>
  <c r="J115" i="12"/>
  <c r="J114" i="12"/>
  <c r="J113" i="12"/>
  <c r="I113" i="12"/>
  <c r="K113" i="12" s="1"/>
  <c r="J112" i="12"/>
  <c r="I112" i="12"/>
  <c r="K112" i="12" s="1"/>
  <c r="J111" i="12"/>
  <c r="I111" i="12"/>
  <c r="K111" i="12" s="1"/>
  <c r="J110" i="12"/>
  <c r="I110" i="12"/>
  <c r="K110" i="12" s="1"/>
  <c r="J109" i="12"/>
  <c r="I109" i="12"/>
  <c r="K109" i="12" s="1"/>
  <c r="J108" i="12"/>
  <c r="I108" i="12"/>
  <c r="K108" i="12" s="1"/>
  <c r="J107" i="12"/>
  <c r="J106" i="12"/>
  <c r="J105" i="12"/>
  <c r="J104" i="12"/>
  <c r="N102" i="12"/>
  <c r="L102" i="12"/>
  <c r="L100" i="12"/>
  <c r="L99" i="12"/>
  <c r="N98" i="12"/>
  <c r="M98" i="12"/>
  <c r="O97" i="12"/>
  <c r="N95" i="12"/>
  <c r="M95" i="12"/>
  <c r="P95" i="12" s="1"/>
  <c r="L95" i="12"/>
  <c r="O95" i="12" s="1"/>
  <c r="J93" i="12"/>
  <c r="I93" i="12"/>
  <c r="K93" i="12" s="1"/>
  <c r="J92" i="12"/>
  <c r="I92" i="12"/>
  <c r="K92" i="12" s="1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J84" i="12"/>
  <c r="I84" i="12"/>
  <c r="J83" i="12"/>
  <c r="I83" i="12"/>
  <c r="K83" i="12" s="1"/>
  <c r="J82" i="12"/>
  <c r="I82" i="12"/>
  <c r="K82" i="12" s="1"/>
  <c r="J81" i="12"/>
  <c r="I81" i="12"/>
  <c r="J80" i="12"/>
  <c r="I80" i="12"/>
  <c r="J79" i="12"/>
  <c r="J78" i="12"/>
  <c r="J77" i="12"/>
  <c r="J76" i="12"/>
  <c r="N74" i="12"/>
  <c r="L74" i="12"/>
  <c r="O74" i="12" s="1"/>
  <c r="L72" i="12"/>
  <c r="L71" i="12"/>
  <c r="N70" i="12"/>
  <c r="M70" i="12"/>
  <c r="M68" i="12" s="1"/>
  <c r="O69" i="12"/>
  <c r="O67" i="12"/>
  <c r="N67" i="12"/>
  <c r="M67" i="12"/>
  <c r="P67" i="12" s="1"/>
  <c r="L67" i="12"/>
  <c r="J65" i="12"/>
  <c r="I65" i="12"/>
  <c r="J64" i="12"/>
  <c r="I64" i="12"/>
  <c r="N61" i="12"/>
  <c r="L61" i="12"/>
  <c r="O61" i="12" s="1"/>
  <c r="L59" i="12"/>
  <c r="L58" i="12"/>
  <c r="N57" i="12"/>
  <c r="M57" i="12"/>
  <c r="M55" i="12" s="1"/>
  <c r="N54" i="12"/>
  <c r="M54" i="12"/>
  <c r="P54" i="12" s="1"/>
  <c r="L54" i="12"/>
  <c r="O54" i="12" s="1"/>
  <c r="N49" i="12"/>
  <c r="L49" i="12"/>
  <c r="O49" i="12" s="1"/>
  <c r="L47" i="12"/>
  <c r="L46" i="12"/>
  <c r="N45" i="12"/>
  <c r="M45" i="12"/>
  <c r="O42" i="12"/>
  <c r="N42" i="12"/>
  <c r="M42" i="12"/>
  <c r="P42" i="12" s="1"/>
  <c r="L42" i="12"/>
  <c r="P36" i="12"/>
  <c r="O36" i="12"/>
  <c r="P35" i="12"/>
  <c r="O35" i="12"/>
  <c r="P34" i="12"/>
  <c r="M34" i="12"/>
  <c r="M33" i="12"/>
  <c r="P33" i="12" s="1"/>
  <c r="P32" i="12"/>
  <c r="M32" i="12"/>
  <c r="M31" i="12"/>
  <c r="P31" i="12" s="1"/>
  <c r="M30" i="12"/>
  <c r="P30" i="12" s="1"/>
  <c r="P25" i="12"/>
  <c r="O25" i="12"/>
  <c r="N25" i="12"/>
  <c r="N15" i="12" s="1"/>
  <c r="M25" i="12"/>
  <c r="L25" i="12"/>
  <c r="N24" i="12"/>
  <c r="M24" i="12"/>
  <c r="P24" i="12" s="1"/>
  <c r="P23" i="12"/>
  <c r="N23" i="12"/>
  <c r="M23" i="12"/>
  <c r="N21" i="12"/>
  <c r="M21" i="12"/>
  <c r="P21" i="12" s="1"/>
  <c r="L21" i="12"/>
  <c r="O21" i="12" s="1"/>
  <c r="P19" i="12"/>
  <c r="M19" i="12"/>
  <c r="L19" i="12"/>
  <c r="O19" i="12" s="1"/>
  <c r="O15" i="12"/>
  <c r="M15" i="12"/>
  <c r="P15" i="12" s="1"/>
  <c r="L15" i="12"/>
  <c r="M13" i="12"/>
  <c r="P13" i="12" s="1"/>
  <c r="J635" i="11"/>
  <c r="I635" i="11"/>
  <c r="J634" i="11"/>
  <c r="I634" i="11"/>
  <c r="J633" i="11"/>
  <c r="I633" i="11"/>
  <c r="K633" i="11" s="1"/>
  <c r="J632" i="11"/>
  <c r="I632" i="11"/>
  <c r="K632" i="11" s="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K620" i="11" s="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J594" i="11"/>
  <c r="I594" i="11"/>
  <c r="K594" i="11" s="1"/>
  <c r="J593" i="11"/>
  <c r="I593" i="11"/>
  <c r="J592" i="11"/>
  <c r="I592" i="11"/>
  <c r="K592" i="11" s="1"/>
  <c r="J591" i="11"/>
  <c r="I591" i="11"/>
  <c r="J590" i="11"/>
  <c r="I590" i="11"/>
  <c r="K590" i="11" s="1"/>
  <c r="J589" i="11"/>
  <c r="I589" i="11"/>
  <c r="N588" i="11"/>
  <c r="N587" i="11"/>
  <c r="N586" i="11"/>
  <c r="N585" i="11"/>
  <c r="N584" i="11"/>
  <c r="L584" i="11"/>
  <c r="N583" i="11"/>
  <c r="L583" i="11"/>
  <c r="O583" i="11" s="1"/>
  <c r="N582" i="11"/>
  <c r="L582" i="11"/>
  <c r="N581" i="11"/>
  <c r="L581" i="11"/>
  <c r="O581" i="11" s="1"/>
  <c r="N580" i="11"/>
  <c r="L580" i="11"/>
  <c r="J580" i="11"/>
  <c r="I580" i="1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N564" i="11"/>
  <c r="L564" i="11"/>
  <c r="J564" i="11"/>
  <c r="I564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J498" i="11"/>
  <c r="I498" i="11"/>
  <c r="J497" i="11"/>
  <c r="I497" i="1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J419" i="11"/>
  <c r="I419" i="11"/>
  <c r="J418" i="11"/>
  <c r="I418" i="11"/>
  <c r="J417" i="11"/>
  <c r="I417" i="1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O384" i="11" s="1"/>
  <c r="N383" i="11"/>
  <c r="L383" i="1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J376" i="11"/>
  <c r="I376" i="11"/>
  <c r="J375" i="11"/>
  <c r="I375" i="11"/>
  <c r="J374" i="11"/>
  <c r="I374" i="11"/>
  <c r="J373" i="11"/>
  <c r="I373" i="11"/>
  <c r="K373" i="11" s="1"/>
  <c r="J372" i="11"/>
  <c r="I372" i="11"/>
  <c r="J371" i="11"/>
  <c r="I371" i="11"/>
  <c r="J370" i="11"/>
  <c r="I370" i="11"/>
  <c r="J369" i="11"/>
  <c r="I369" i="11"/>
  <c r="K369" i="11" s="1"/>
  <c r="J368" i="11"/>
  <c r="I368" i="1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N353" i="11"/>
  <c r="L353" i="11"/>
  <c r="O353" i="11" s="1"/>
  <c r="N352" i="11"/>
  <c r="L352" i="11"/>
  <c r="N351" i="11"/>
  <c r="L351" i="11"/>
  <c r="O351" i="11" s="1"/>
  <c r="J350" i="11"/>
  <c r="I350" i="11"/>
  <c r="N349" i="11"/>
  <c r="L349" i="11"/>
  <c r="J349" i="11"/>
  <c r="I349" i="1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L335" i="11"/>
  <c r="L334" i="11"/>
  <c r="N333" i="11"/>
  <c r="M333" i="11"/>
  <c r="O332" i="11"/>
  <c r="P330" i="11"/>
  <c r="N330" i="11"/>
  <c r="M330" i="11"/>
  <c r="L330" i="1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O313" i="11"/>
  <c r="P311" i="11"/>
  <c r="N311" i="11"/>
  <c r="M311" i="11"/>
  <c r="L311" i="11"/>
  <c r="O311" i="11" s="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M292" i="11" s="1"/>
  <c r="P292" i="11" s="1"/>
  <c r="O293" i="11"/>
  <c r="O291" i="11"/>
  <c r="N291" i="11"/>
  <c r="M291" i="11"/>
  <c r="P291" i="11" s="1"/>
  <c r="L291" i="11"/>
  <c r="J289" i="11"/>
  <c r="I289" i="11"/>
  <c r="K289" i="11" s="1"/>
  <c r="J287" i="11"/>
  <c r="J286" i="11"/>
  <c r="J285" i="11"/>
  <c r="I285" i="11"/>
  <c r="J284" i="11"/>
  <c r="J283" i="11"/>
  <c r="J282" i="11"/>
  <c r="J281" i="11"/>
  <c r="N279" i="11"/>
  <c r="L279" i="11"/>
  <c r="O279" i="11" s="1"/>
  <c r="L277" i="11"/>
  <c r="L276" i="11"/>
  <c r="N275" i="11"/>
  <c r="M275" i="11"/>
  <c r="M273" i="11" s="1"/>
  <c r="O274" i="11"/>
  <c r="O272" i="11"/>
  <c r="N272" i="11"/>
  <c r="M272" i="11"/>
  <c r="P272" i="11" s="1"/>
  <c r="L272" i="11"/>
  <c r="J270" i="11"/>
  <c r="I270" i="11"/>
  <c r="J269" i="11"/>
  <c r="J268" i="11"/>
  <c r="J267" i="11"/>
  <c r="I267" i="11"/>
  <c r="K267" i="11" s="1"/>
  <c r="J266" i="11"/>
  <c r="I266" i="11"/>
  <c r="K266" i="11" s="1"/>
  <c r="J265" i="11"/>
  <c r="I265" i="11"/>
  <c r="K265" i="11" s="1"/>
  <c r="J264" i="11"/>
  <c r="I264" i="11"/>
  <c r="K264" i="11" s="1"/>
  <c r="J263" i="11"/>
  <c r="J262" i="11"/>
  <c r="J261" i="11"/>
  <c r="J260" i="11"/>
  <c r="N258" i="11"/>
  <c r="L258" i="11"/>
  <c r="O258" i="11" s="1"/>
  <c r="L256" i="11"/>
  <c r="L255" i="11"/>
  <c r="N254" i="11"/>
  <c r="M254" i="11"/>
  <c r="O253" i="11"/>
  <c r="P251" i="11"/>
  <c r="N251" i="11"/>
  <c r="M251" i="11"/>
  <c r="L251" i="11"/>
  <c r="O251" i="11" s="1"/>
  <c r="J249" i="11"/>
  <c r="I249" i="11"/>
  <c r="K249" i="11" s="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O223" i="11"/>
  <c r="O221" i="11"/>
  <c r="N221" i="11"/>
  <c r="M221" i="11"/>
  <c r="L221" i="1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K201" i="11" s="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J185" i="11"/>
  <c r="I185" i="11"/>
  <c r="J184" i="11"/>
  <c r="J183" i="11"/>
  <c r="J182" i="11"/>
  <c r="J181" i="11"/>
  <c r="J176" i="11"/>
  <c r="I176" i="1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O143" i="11"/>
  <c r="P141" i="11"/>
  <c r="N141" i="11"/>
  <c r="M141" i="11"/>
  <c r="L141" i="11"/>
  <c r="O141" i="11" s="1"/>
  <c r="J138" i="11"/>
  <c r="I138" i="11"/>
  <c r="K138" i="11" s="1"/>
  <c r="J135" i="11"/>
  <c r="J134" i="11"/>
  <c r="J133" i="11"/>
  <c r="I133" i="11"/>
  <c r="J132" i="11"/>
  <c r="I132" i="11"/>
  <c r="J131" i="11"/>
  <c r="J130" i="11"/>
  <c r="J129" i="11"/>
  <c r="J128" i="11"/>
  <c r="N126" i="11"/>
  <c r="L126" i="11"/>
  <c r="O126" i="11" s="1"/>
  <c r="L124" i="11"/>
  <c r="L123" i="11"/>
  <c r="N122" i="11"/>
  <c r="M122" i="11"/>
  <c r="O121" i="11"/>
  <c r="N119" i="11"/>
  <c r="M119" i="11"/>
  <c r="P119" i="11" s="1"/>
  <c r="L119" i="11"/>
  <c r="O119" i="11" s="1"/>
  <c r="J117" i="11"/>
  <c r="I117" i="11"/>
  <c r="J115" i="11"/>
  <c r="J114" i="11"/>
  <c r="J113" i="11"/>
  <c r="I113" i="11"/>
  <c r="J112" i="11"/>
  <c r="I112" i="11"/>
  <c r="J111" i="11"/>
  <c r="I111" i="11"/>
  <c r="J110" i="11"/>
  <c r="I110" i="11"/>
  <c r="J109" i="11"/>
  <c r="I109" i="11"/>
  <c r="J108" i="11"/>
  <c r="I108" i="11"/>
  <c r="J107" i="11"/>
  <c r="J106" i="11"/>
  <c r="J105" i="11"/>
  <c r="J104" i="11"/>
  <c r="N102" i="11"/>
  <c r="L102" i="11"/>
  <c r="M102" i="11" s="1"/>
  <c r="L100" i="11"/>
  <c r="L99" i="11"/>
  <c r="N98" i="11"/>
  <c r="M98" i="11"/>
  <c r="O97" i="11"/>
  <c r="P95" i="11"/>
  <c r="N95" i="11"/>
  <c r="M95" i="11"/>
  <c r="L95" i="11"/>
  <c r="O95" i="11" s="1"/>
  <c r="J93" i="11"/>
  <c r="I93" i="11"/>
  <c r="J92" i="11"/>
  <c r="I92" i="11"/>
  <c r="J90" i="11"/>
  <c r="J89" i="11"/>
  <c r="J88" i="11"/>
  <c r="I88" i="11"/>
  <c r="J87" i="11"/>
  <c r="I87" i="11"/>
  <c r="K87" i="11" s="1"/>
  <c r="J86" i="11"/>
  <c r="I86" i="11"/>
  <c r="K86" i="11" s="1"/>
  <c r="J85" i="11"/>
  <c r="I85" i="11"/>
  <c r="K85" i="11" s="1"/>
  <c r="J84" i="11"/>
  <c r="I84" i="11"/>
  <c r="K84" i="11" s="1"/>
  <c r="J83" i="11"/>
  <c r="I83" i="11"/>
  <c r="J82" i="11"/>
  <c r="I82" i="11"/>
  <c r="J81" i="11"/>
  <c r="I81" i="11"/>
  <c r="J80" i="11"/>
  <c r="I80" i="11"/>
  <c r="J79" i="11"/>
  <c r="J78" i="11"/>
  <c r="J77" i="11"/>
  <c r="J76" i="11"/>
  <c r="N74" i="11"/>
  <c r="L74" i="11"/>
  <c r="O74" i="11" s="1"/>
  <c r="L72" i="11"/>
  <c r="L71" i="11"/>
  <c r="N70" i="11"/>
  <c r="M70" i="11"/>
  <c r="O69" i="11"/>
  <c r="N67" i="11"/>
  <c r="M67" i="11"/>
  <c r="P67" i="11" s="1"/>
  <c r="L67" i="11"/>
  <c r="O67" i="11" s="1"/>
  <c r="J65" i="11"/>
  <c r="I65" i="11"/>
  <c r="J64" i="11"/>
  <c r="I64" i="11"/>
  <c r="N61" i="11"/>
  <c r="L61" i="11"/>
  <c r="O61" i="11" s="1"/>
  <c r="L59" i="11"/>
  <c r="L58" i="11"/>
  <c r="N57" i="11"/>
  <c r="M57" i="11"/>
  <c r="P54" i="11"/>
  <c r="N54" i="11"/>
  <c r="M54" i="11"/>
  <c r="L54" i="11"/>
  <c r="O54" i="11" s="1"/>
  <c r="N49" i="11"/>
  <c r="L49" i="11"/>
  <c r="O49" i="11" s="1"/>
  <c r="L47" i="11"/>
  <c r="L46" i="11"/>
  <c r="N45" i="11"/>
  <c r="M45" i="11"/>
  <c r="N42" i="11"/>
  <c r="M42" i="11"/>
  <c r="P42" i="11" s="1"/>
  <c r="L42" i="11"/>
  <c r="O42" i="11" s="1"/>
  <c r="P36" i="11"/>
  <c r="O36" i="11"/>
  <c r="P35" i="11"/>
  <c r="O35" i="11"/>
  <c r="P34" i="11"/>
  <c r="M34" i="11"/>
  <c r="M33" i="11"/>
  <c r="P33" i="11" s="1"/>
  <c r="M32" i="11"/>
  <c r="P32" i="11" s="1"/>
  <c r="P31" i="11"/>
  <c r="M31" i="11"/>
  <c r="P30" i="11"/>
  <c r="M30" i="11"/>
  <c r="M29" i="11"/>
  <c r="P25" i="11"/>
  <c r="N25" i="11"/>
  <c r="M25" i="11"/>
  <c r="L25" i="11"/>
  <c r="N24" i="11"/>
  <c r="M24" i="11"/>
  <c r="P24" i="11" s="1"/>
  <c r="N23" i="11"/>
  <c r="M23" i="11"/>
  <c r="P23" i="11" s="1"/>
  <c r="P21" i="11"/>
  <c r="N21" i="11"/>
  <c r="M21" i="11"/>
  <c r="M19" i="11" s="1"/>
  <c r="L21" i="11"/>
  <c r="O21" i="11" s="1"/>
  <c r="N19" i="11"/>
  <c r="N15" i="11"/>
  <c r="M15" i="11"/>
  <c r="P15" i="11" s="1"/>
  <c r="M11" i="11"/>
  <c r="J635" i="10"/>
  <c r="I635" i="10"/>
  <c r="J634" i="10"/>
  <c r="I634" i="10"/>
  <c r="J633" i="10"/>
  <c r="I633" i="10"/>
  <c r="K633" i="10" s="1"/>
  <c r="J632" i="10"/>
  <c r="I632" i="10"/>
  <c r="K632" i="10" s="1"/>
  <c r="J631" i="10"/>
  <c r="I631" i="10"/>
  <c r="J630" i="10"/>
  <c r="I630" i="10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K626" i="10" s="1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J594" i="10"/>
  <c r="I594" i="10"/>
  <c r="K594" i="10" s="1"/>
  <c r="J593" i="10"/>
  <c r="I593" i="10"/>
  <c r="J592" i="10"/>
  <c r="I592" i="10"/>
  <c r="K592" i="10" s="1"/>
  <c r="J591" i="10"/>
  <c r="I591" i="10"/>
  <c r="J590" i="10"/>
  <c r="I590" i="10"/>
  <c r="K590" i="10" s="1"/>
  <c r="J589" i="10"/>
  <c r="I589" i="10"/>
  <c r="N588" i="10"/>
  <c r="N587" i="10"/>
  <c r="N586" i="10"/>
  <c r="N585" i="10"/>
  <c r="N584" i="10"/>
  <c r="L584" i="10"/>
  <c r="N583" i="10"/>
  <c r="L583" i="10"/>
  <c r="O583" i="10" s="1"/>
  <c r="N582" i="10"/>
  <c r="L582" i="10"/>
  <c r="N581" i="10"/>
  <c r="L581" i="10"/>
  <c r="O581" i="10" s="1"/>
  <c r="N580" i="10"/>
  <c r="L580" i="10"/>
  <c r="J580" i="10"/>
  <c r="I580" i="10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1" i="10"/>
  <c r="I561" i="10"/>
  <c r="K561" i="10" s="1"/>
  <c r="J560" i="10"/>
  <c r="I560" i="10"/>
  <c r="K560" i="10" s="1"/>
  <c r="N559" i="10"/>
  <c r="N558" i="10"/>
  <c r="N557" i="10"/>
  <c r="N556" i="10"/>
  <c r="N555" i="10"/>
  <c r="L555" i="10"/>
  <c r="O555" i="10" s="1"/>
  <c r="N554" i="10"/>
  <c r="L554" i="10"/>
  <c r="O554" i="10" s="1"/>
  <c r="N553" i="10"/>
  <c r="L553" i="10"/>
  <c r="O553" i="10" s="1"/>
  <c r="N552" i="10"/>
  <c r="L552" i="10"/>
  <c r="O552" i="10" s="1"/>
  <c r="N551" i="10"/>
  <c r="L551" i="10"/>
  <c r="O551" i="10" s="1"/>
  <c r="J551" i="10"/>
  <c r="I551" i="10"/>
  <c r="K551" i="10" s="1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J498" i="10"/>
  <c r="I498" i="10"/>
  <c r="J497" i="10"/>
  <c r="I497" i="10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J481" i="10"/>
  <c r="I481" i="10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J473" i="10"/>
  <c r="I473" i="10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J465" i="10"/>
  <c r="I465" i="10"/>
  <c r="J464" i="10"/>
  <c r="I464" i="10"/>
  <c r="N463" i="10"/>
  <c r="N462" i="10"/>
  <c r="N461" i="10"/>
  <c r="N460" i="10"/>
  <c r="N459" i="10"/>
  <c r="L459" i="10"/>
  <c r="N458" i="10"/>
  <c r="L458" i="10"/>
  <c r="O458" i="10" s="1"/>
  <c r="N457" i="10"/>
  <c r="L457" i="10"/>
  <c r="N456" i="10"/>
  <c r="L456" i="10"/>
  <c r="O456" i="10" s="1"/>
  <c r="N455" i="10"/>
  <c r="L455" i="10"/>
  <c r="J455" i="10"/>
  <c r="I455" i="10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J376" i="10"/>
  <c r="I376" i="10"/>
  <c r="J375" i="10"/>
  <c r="I375" i="10"/>
  <c r="J374" i="10"/>
  <c r="I374" i="10"/>
  <c r="J373" i="10"/>
  <c r="I373" i="10"/>
  <c r="K373" i="10" s="1"/>
  <c r="J372" i="10"/>
  <c r="I372" i="10"/>
  <c r="J371" i="10"/>
  <c r="I371" i="10"/>
  <c r="K371" i="10" s="1"/>
  <c r="J370" i="10"/>
  <c r="I370" i="10"/>
  <c r="J369" i="10"/>
  <c r="I369" i="10"/>
  <c r="J368" i="10"/>
  <c r="I368" i="10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N353" i="10"/>
  <c r="L353" i="10"/>
  <c r="N352" i="10"/>
  <c r="L352" i="10"/>
  <c r="N351" i="10"/>
  <c r="L351" i="10"/>
  <c r="O351" i="10" s="1"/>
  <c r="J350" i="10"/>
  <c r="I350" i="10"/>
  <c r="N349" i="10"/>
  <c r="L349" i="10"/>
  <c r="J349" i="10"/>
  <c r="I349" i="10"/>
  <c r="N347" i="10"/>
  <c r="L347" i="10"/>
  <c r="J346" i="10"/>
  <c r="I346" i="10"/>
  <c r="K346" i="10" s="1"/>
  <c r="J345" i="10"/>
  <c r="I345" i="10"/>
  <c r="J344" i="10"/>
  <c r="I344" i="10"/>
  <c r="K344" i="10" s="1"/>
  <c r="J343" i="10"/>
  <c r="I343" i="10"/>
  <c r="J342" i="10"/>
  <c r="I342" i="10"/>
  <c r="K342" i="10" s="1"/>
  <c r="J341" i="10"/>
  <c r="I341" i="10"/>
  <c r="J340" i="10"/>
  <c r="I340" i="10"/>
  <c r="J339" i="10"/>
  <c r="I339" i="10"/>
  <c r="K339" i="10" s="1"/>
  <c r="N337" i="10"/>
  <c r="L337" i="10"/>
  <c r="L335" i="10"/>
  <c r="L334" i="10"/>
  <c r="N333" i="10"/>
  <c r="M333" i="10"/>
  <c r="O332" i="10"/>
  <c r="N330" i="10"/>
  <c r="M330" i="10"/>
  <c r="P330" i="10" s="1"/>
  <c r="L330" i="10"/>
  <c r="O330" i="10" s="1"/>
  <c r="J328" i="10"/>
  <c r="I328" i="10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P314" i="10" s="1"/>
  <c r="O313" i="10"/>
  <c r="P311" i="10"/>
  <c r="N311" i="10"/>
  <c r="M311" i="10"/>
  <c r="L311" i="10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O293" i="10"/>
  <c r="N291" i="10"/>
  <c r="M291" i="10"/>
  <c r="L291" i="10"/>
  <c r="O291" i="10" s="1"/>
  <c r="J289" i="10"/>
  <c r="I289" i="10"/>
  <c r="K289" i="10" s="1"/>
  <c r="J287" i="10"/>
  <c r="J286" i="10"/>
  <c r="J285" i="10"/>
  <c r="I285" i="10"/>
  <c r="J284" i="10"/>
  <c r="J283" i="10"/>
  <c r="J282" i="10"/>
  <c r="J281" i="10"/>
  <c r="N279" i="10"/>
  <c r="L279" i="10"/>
  <c r="O279" i="10" s="1"/>
  <c r="L277" i="10"/>
  <c r="L276" i="10"/>
  <c r="N275" i="10"/>
  <c r="M275" i="10"/>
  <c r="O274" i="10"/>
  <c r="O272" i="10"/>
  <c r="N272" i="10"/>
  <c r="M272" i="10"/>
  <c r="P272" i="10" s="1"/>
  <c r="L272" i="10"/>
  <c r="J270" i="10"/>
  <c r="I270" i="10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P254" i="10" s="1"/>
  <c r="O253" i="10"/>
  <c r="N251" i="10"/>
  <c r="M251" i="10"/>
  <c r="P251" i="10" s="1"/>
  <c r="L251" i="10"/>
  <c r="O251" i="10" s="1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J234" i="10"/>
  <c r="J233" i="10"/>
  <c r="J232" i="10"/>
  <c r="J231" i="10"/>
  <c r="J229" i="10"/>
  <c r="I229" i="10"/>
  <c r="N228" i="10"/>
  <c r="L228" i="10"/>
  <c r="O228" i="10" s="1"/>
  <c r="L226" i="10"/>
  <c r="L225" i="10"/>
  <c r="N224" i="10"/>
  <c r="M224" i="10"/>
  <c r="O223" i="10"/>
  <c r="O221" i="10"/>
  <c r="N221" i="10"/>
  <c r="M221" i="10"/>
  <c r="P221" i="10" s="1"/>
  <c r="L221" i="10"/>
  <c r="J219" i="10"/>
  <c r="I219" i="10"/>
  <c r="J218" i="10"/>
  <c r="J217" i="10"/>
  <c r="J216" i="10"/>
  <c r="I216" i="10"/>
  <c r="K216" i="10" s="1"/>
  <c r="J215" i="10"/>
  <c r="I215" i="10"/>
  <c r="K215" i="10" s="1"/>
  <c r="J213" i="10"/>
  <c r="I213" i="10"/>
  <c r="K213" i="10" s="1"/>
  <c r="J212" i="10"/>
  <c r="J211" i="10"/>
  <c r="J210" i="10"/>
  <c r="J209" i="10"/>
  <c r="J204" i="10"/>
  <c r="I204" i="10"/>
  <c r="K204" i="10" s="1"/>
  <c r="J203" i="10"/>
  <c r="J202" i="10"/>
  <c r="J201" i="10"/>
  <c r="I201" i="10"/>
  <c r="J200" i="10"/>
  <c r="I200" i="10"/>
  <c r="J199" i="10"/>
  <c r="I199" i="10"/>
  <c r="J197" i="10"/>
  <c r="J196" i="10"/>
  <c r="J195" i="10"/>
  <c r="J194" i="10"/>
  <c r="J189" i="10"/>
  <c r="I189" i="10"/>
  <c r="J188" i="10"/>
  <c r="J187" i="10"/>
  <c r="J186" i="10"/>
  <c r="I186" i="10"/>
  <c r="J185" i="10"/>
  <c r="I185" i="10"/>
  <c r="J184" i="10"/>
  <c r="J183" i="10"/>
  <c r="J182" i="10"/>
  <c r="J181" i="10"/>
  <c r="J176" i="10"/>
  <c r="I176" i="10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O143" i="10"/>
  <c r="P141" i="10"/>
  <c r="N141" i="10"/>
  <c r="M141" i="10"/>
  <c r="L141" i="10"/>
  <c r="O141" i="10" s="1"/>
  <c r="J138" i="10"/>
  <c r="I138" i="10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O121" i="10"/>
  <c r="N119" i="10"/>
  <c r="M119" i="10"/>
  <c r="P119" i="10" s="1"/>
  <c r="L119" i="10"/>
  <c r="O119" i="10" s="1"/>
  <c r="J117" i="10"/>
  <c r="I117" i="10"/>
  <c r="K117" i="10" s="1"/>
  <c r="J115" i="10"/>
  <c r="J114" i="10"/>
  <c r="J113" i="10"/>
  <c r="I113" i="10"/>
  <c r="J112" i="10"/>
  <c r="I112" i="10"/>
  <c r="J111" i="10"/>
  <c r="I111" i="10"/>
  <c r="J110" i="10"/>
  <c r="I110" i="10"/>
  <c r="J109" i="10"/>
  <c r="I109" i="10"/>
  <c r="J108" i="10"/>
  <c r="I108" i="10"/>
  <c r="J107" i="10"/>
  <c r="J106" i="10"/>
  <c r="J105" i="10"/>
  <c r="J104" i="10"/>
  <c r="N102" i="10"/>
  <c r="L102" i="10"/>
  <c r="M102" i="10" s="1"/>
  <c r="L100" i="10"/>
  <c r="L99" i="10"/>
  <c r="N98" i="10"/>
  <c r="M98" i="10"/>
  <c r="O97" i="10"/>
  <c r="P95" i="10"/>
  <c r="N95" i="10"/>
  <c r="M95" i="10"/>
  <c r="L95" i="10"/>
  <c r="O95" i="10" s="1"/>
  <c r="J93" i="10"/>
  <c r="I93" i="10"/>
  <c r="J92" i="10"/>
  <c r="I92" i="10"/>
  <c r="J90" i="10"/>
  <c r="J89" i="10"/>
  <c r="J88" i="10"/>
  <c r="I88" i="10"/>
  <c r="K88" i="10" s="1"/>
  <c r="J87" i="10"/>
  <c r="I87" i="10"/>
  <c r="J86" i="10"/>
  <c r="I86" i="10"/>
  <c r="J85" i="10"/>
  <c r="I85" i="10"/>
  <c r="J84" i="10"/>
  <c r="I84" i="10"/>
  <c r="J83" i="10"/>
  <c r="I83" i="10"/>
  <c r="K83" i="10" s="1"/>
  <c r="J82" i="10"/>
  <c r="I82" i="10"/>
  <c r="K82" i="10" s="1"/>
  <c r="J81" i="10"/>
  <c r="I81" i="10"/>
  <c r="J80" i="10"/>
  <c r="I80" i="10"/>
  <c r="J79" i="10"/>
  <c r="J78" i="10"/>
  <c r="J77" i="10"/>
  <c r="J76" i="10"/>
  <c r="N74" i="10"/>
  <c r="L74" i="10"/>
  <c r="O74" i="10" s="1"/>
  <c r="L72" i="10"/>
  <c r="L71" i="10"/>
  <c r="N70" i="10"/>
  <c r="M70" i="10"/>
  <c r="M68" i="10" s="1"/>
  <c r="O69" i="10"/>
  <c r="N67" i="10"/>
  <c r="M67" i="10"/>
  <c r="P67" i="10" s="1"/>
  <c r="L67" i="10"/>
  <c r="O67" i="10" s="1"/>
  <c r="J65" i="10"/>
  <c r="I65" i="10"/>
  <c r="J64" i="10"/>
  <c r="I64" i="10"/>
  <c r="N61" i="10"/>
  <c r="L61" i="10"/>
  <c r="O61" i="10" s="1"/>
  <c r="L59" i="10"/>
  <c r="L58" i="10"/>
  <c r="N57" i="10"/>
  <c r="M57" i="10"/>
  <c r="M55" i="10" s="1"/>
  <c r="M53" i="10" s="1"/>
  <c r="P54" i="10"/>
  <c r="N54" i="10"/>
  <c r="M54" i="10"/>
  <c r="L54" i="10"/>
  <c r="O54" i="10" s="1"/>
  <c r="N49" i="10"/>
  <c r="L49" i="10"/>
  <c r="O49" i="10" s="1"/>
  <c r="L47" i="10"/>
  <c r="L46" i="10"/>
  <c r="N45" i="10"/>
  <c r="M45" i="10"/>
  <c r="N42" i="10"/>
  <c r="M42" i="10"/>
  <c r="P42" i="10" s="1"/>
  <c r="L42" i="10"/>
  <c r="O42" i="10" s="1"/>
  <c r="P36" i="10"/>
  <c r="O36" i="10"/>
  <c r="P35" i="10"/>
  <c r="O35" i="10"/>
  <c r="P34" i="10"/>
  <c r="M34" i="10"/>
  <c r="M33" i="10"/>
  <c r="M13" i="10" s="1"/>
  <c r="P13" i="10" s="1"/>
  <c r="P32" i="10"/>
  <c r="M32" i="10"/>
  <c r="M30" i="10" s="1"/>
  <c r="P30" i="10" s="1"/>
  <c r="M31" i="10"/>
  <c r="P31" i="10" s="1"/>
  <c r="M29" i="10"/>
  <c r="P29" i="10" s="1"/>
  <c r="P25" i="10"/>
  <c r="N25" i="10"/>
  <c r="N15" i="10" s="1"/>
  <c r="M25" i="10"/>
  <c r="M19" i="10" s="1"/>
  <c r="L25" i="10"/>
  <c r="O25" i="10" s="1"/>
  <c r="N24" i="10"/>
  <c r="M24" i="10"/>
  <c r="P24" i="10" s="1"/>
  <c r="P23" i="10"/>
  <c r="N23" i="10"/>
  <c r="M23" i="10"/>
  <c r="P21" i="10"/>
  <c r="N21" i="10"/>
  <c r="M21" i="10"/>
  <c r="L21" i="10"/>
  <c r="L19" i="10" s="1"/>
  <c r="N19" i="10"/>
  <c r="M15" i="10"/>
  <c r="P15" i="10" s="1"/>
  <c r="M11" i="10"/>
  <c r="P11" i="10" s="1"/>
  <c r="J635" i="9"/>
  <c r="I635" i="9"/>
  <c r="J634" i="9"/>
  <c r="I634" i="9"/>
  <c r="J633" i="9"/>
  <c r="I633" i="9"/>
  <c r="K633" i="9" s="1"/>
  <c r="J632" i="9"/>
  <c r="I632" i="9"/>
  <c r="K632" i="9" s="1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K622" i="9" s="1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K595" i="9" s="1"/>
  <c r="J594" i="9"/>
  <c r="I594" i="9"/>
  <c r="K594" i="9" s="1"/>
  <c r="J593" i="9"/>
  <c r="I593" i="9"/>
  <c r="K593" i="9" s="1"/>
  <c r="J592" i="9"/>
  <c r="I592" i="9"/>
  <c r="K592" i="9" s="1"/>
  <c r="J591" i="9"/>
  <c r="I591" i="9"/>
  <c r="K591" i="9" s="1"/>
  <c r="J590" i="9"/>
  <c r="I590" i="9"/>
  <c r="K590" i="9" s="1"/>
  <c r="J589" i="9"/>
  <c r="I589" i="9"/>
  <c r="K589" i="9" s="1"/>
  <c r="N588" i="9"/>
  <c r="N587" i="9"/>
  <c r="N586" i="9"/>
  <c r="N585" i="9"/>
  <c r="N584" i="9"/>
  <c r="L584" i="9"/>
  <c r="O584" i="9" s="1"/>
  <c r="N583" i="9"/>
  <c r="L583" i="9"/>
  <c r="O583" i="9" s="1"/>
  <c r="N582" i="9"/>
  <c r="L582" i="9"/>
  <c r="O582" i="9" s="1"/>
  <c r="N581" i="9"/>
  <c r="L581" i="9"/>
  <c r="O581" i="9" s="1"/>
  <c r="N580" i="9"/>
  <c r="L580" i="9"/>
  <c r="O580" i="9" s="1"/>
  <c r="J580" i="9"/>
  <c r="I580" i="9"/>
  <c r="K580" i="9" s="1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N566" i="9"/>
  <c r="L566" i="9"/>
  <c r="N565" i="9"/>
  <c r="L565" i="9"/>
  <c r="O565" i="9" s="1"/>
  <c r="N564" i="9"/>
  <c r="L564" i="9"/>
  <c r="J564" i="9"/>
  <c r="I564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J498" i="9"/>
  <c r="I498" i="9"/>
  <c r="J497" i="9"/>
  <c r="I497" i="9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J481" i="9"/>
  <c r="I481" i="9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J473" i="9"/>
  <c r="I473" i="9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J465" i="9"/>
  <c r="I465" i="9"/>
  <c r="J464" i="9"/>
  <c r="I464" i="9"/>
  <c r="N463" i="9"/>
  <c r="N462" i="9"/>
  <c r="N461" i="9"/>
  <c r="N460" i="9"/>
  <c r="N459" i="9"/>
  <c r="L459" i="9"/>
  <c r="N458" i="9"/>
  <c r="L458" i="9"/>
  <c r="O458" i="9" s="1"/>
  <c r="N457" i="9"/>
  <c r="L457" i="9"/>
  <c r="N456" i="9"/>
  <c r="L456" i="9"/>
  <c r="O456" i="9" s="1"/>
  <c r="N455" i="9"/>
  <c r="L455" i="9"/>
  <c r="J455" i="9"/>
  <c r="I455" i="9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N435" i="9"/>
  <c r="L435" i="9"/>
  <c r="J435" i="9"/>
  <c r="I435" i="9"/>
  <c r="J434" i="9"/>
  <c r="J433" i="9"/>
  <c r="J432" i="9"/>
  <c r="I432" i="9"/>
  <c r="J431" i="9"/>
  <c r="I431" i="9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J419" i="9"/>
  <c r="I419" i="9"/>
  <c r="J418" i="9"/>
  <c r="I418" i="9"/>
  <c r="J417" i="9"/>
  <c r="I417" i="9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J397" i="9"/>
  <c r="I397" i="9"/>
  <c r="J396" i="9"/>
  <c r="I396" i="9"/>
  <c r="J394" i="9"/>
  <c r="J393" i="9"/>
  <c r="J392" i="9"/>
  <c r="J391" i="9"/>
  <c r="N389" i="9"/>
  <c r="N388" i="9"/>
  <c r="N387" i="9"/>
  <c r="N386" i="9"/>
  <c r="N385" i="9"/>
  <c r="L385" i="9"/>
  <c r="N384" i="9"/>
  <c r="L384" i="9"/>
  <c r="O384" i="9" s="1"/>
  <c r="N383" i="9"/>
  <c r="L383" i="9"/>
  <c r="N382" i="9"/>
  <c r="L382" i="9"/>
  <c r="O382" i="9" s="1"/>
  <c r="J381" i="9"/>
  <c r="I381" i="9"/>
  <c r="N380" i="9"/>
  <c r="L380" i="9"/>
  <c r="J380" i="9"/>
  <c r="I380" i="9"/>
  <c r="J379" i="9"/>
  <c r="J378" i="9"/>
  <c r="J377" i="9"/>
  <c r="I377" i="9"/>
  <c r="J376" i="9"/>
  <c r="I376" i="9"/>
  <c r="J375" i="9"/>
  <c r="I375" i="9"/>
  <c r="J374" i="9"/>
  <c r="I374" i="9"/>
  <c r="J373" i="9"/>
  <c r="I373" i="9"/>
  <c r="K373" i="9" s="1"/>
  <c r="J372" i="9"/>
  <c r="I372" i="9"/>
  <c r="J371" i="9"/>
  <c r="I371" i="9"/>
  <c r="K371" i="9" s="1"/>
  <c r="J370" i="9"/>
  <c r="I370" i="9"/>
  <c r="J369" i="9"/>
  <c r="I369" i="9"/>
  <c r="K369" i="9" s="1"/>
  <c r="J368" i="9"/>
  <c r="I368" i="9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N353" i="9"/>
  <c r="L353" i="9"/>
  <c r="O353" i="9" s="1"/>
  <c r="N352" i="9"/>
  <c r="L352" i="9"/>
  <c r="N351" i="9"/>
  <c r="L351" i="9"/>
  <c r="O351" i="9" s="1"/>
  <c r="J350" i="9"/>
  <c r="I350" i="9"/>
  <c r="N349" i="9"/>
  <c r="L349" i="9"/>
  <c r="J349" i="9"/>
  <c r="I349" i="9"/>
  <c r="N347" i="9"/>
  <c r="L347" i="9"/>
  <c r="J346" i="9"/>
  <c r="I346" i="9"/>
  <c r="K346" i="9" s="1"/>
  <c r="J345" i="9"/>
  <c r="I345" i="9"/>
  <c r="J344" i="9"/>
  <c r="I344" i="9"/>
  <c r="K344" i="9" s="1"/>
  <c r="J343" i="9"/>
  <c r="I343" i="9"/>
  <c r="J342" i="9"/>
  <c r="I342" i="9"/>
  <c r="K342" i="9" s="1"/>
  <c r="J341" i="9"/>
  <c r="I341" i="9"/>
  <c r="J340" i="9"/>
  <c r="I340" i="9"/>
  <c r="J339" i="9"/>
  <c r="I339" i="9"/>
  <c r="K339" i="9" s="1"/>
  <c r="N337" i="9"/>
  <c r="L337" i="9"/>
  <c r="O337" i="9" s="1"/>
  <c r="L335" i="9"/>
  <c r="L334" i="9"/>
  <c r="N333" i="9"/>
  <c r="M333" i="9"/>
  <c r="O332" i="9"/>
  <c r="P330" i="9"/>
  <c r="N330" i="9"/>
  <c r="M330" i="9"/>
  <c r="L330" i="9"/>
  <c r="O330" i="9" s="1"/>
  <c r="J328" i="9"/>
  <c r="I328" i="9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M312" i="9" s="1"/>
  <c r="P312" i="9" s="1"/>
  <c r="O313" i="9"/>
  <c r="N311" i="9"/>
  <c r="M311" i="9"/>
  <c r="P311" i="9" s="1"/>
  <c r="L311" i="9"/>
  <c r="O311" i="9" s="1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M292" i="9" s="1"/>
  <c r="P292" i="9" s="1"/>
  <c r="O293" i="9"/>
  <c r="O291" i="9"/>
  <c r="N291" i="9"/>
  <c r="M291" i="9"/>
  <c r="P291" i="9" s="1"/>
  <c r="L291" i="9"/>
  <c r="J289" i="9"/>
  <c r="I289" i="9"/>
  <c r="K289" i="9" s="1"/>
  <c r="J287" i="9"/>
  <c r="J286" i="9"/>
  <c r="J285" i="9"/>
  <c r="I285" i="9"/>
  <c r="J284" i="9"/>
  <c r="J283" i="9"/>
  <c r="J282" i="9"/>
  <c r="J281" i="9"/>
  <c r="N279" i="9"/>
  <c r="L279" i="9"/>
  <c r="O279" i="9" s="1"/>
  <c r="L277" i="9"/>
  <c r="L276" i="9"/>
  <c r="N275" i="9"/>
  <c r="M275" i="9"/>
  <c r="M273" i="9" s="1"/>
  <c r="O274" i="9"/>
  <c r="N272" i="9"/>
  <c r="M272" i="9"/>
  <c r="P272" i="9" s="1"/>
  <c r="L272" i="9"/>
  <c r="O272" i="9" s="1"/>
  <c r="J270" i="9"/>
  <c r="I270" i="9"/>
  <c r="J269" i="9"/>
  <c r="J268" i="9"/>
  <c r="J267" i="9"/>
  <c r="I267" i="9"/>
  <c r="K267" i="9" s="1"/>
  <c r="J266" i="9"/>
  <c r="I266" i="9"/>
  <c r="K266" i="9" s="1"/>
  <c r="J265" i="9"/>
  <c r="I265" i="9"/>
  <c r="K265" i="9" s="1"/>
  <c r="J264" i="9"/>
  <c r="I264" i="9"/>
  <c r="K264" i="9" s="1"/>
  <c r="J263" i="9"/>
  <c r="J262" i="9"/>
  <c r="J261" i="9"/>
  <c r="J260" i="9"/>
  <c r="N258" i="9"/>
  <c r="L258" i="9"/>
  <c r="O258" i="9" s="1"/>
  <c r="L256" i="9"/>
  <c r="L255" i="9"/>
  <c r="N254" i="9"/>
  <c r="M254" i="9"/>
  <c r="P254" i="9" s="1"/>
  <c r="O253" i="9"/>
  <c r="P251" i="9"/>
  <c r="N251" i="9"/>
  <c r="M251" i="9"/>
  <c r="L251" i="9"/>
  <c r="O251" i="9" s="1"/>
  <c r="J249" i="9"/>
  <c r="I249" i="9"/>
  <c r="K249" i="9" s="1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O223" i="9"/>
  <c r="O221" i="9"/>
  <c r="N221" i="9"/>
  <c r="M221" i="9"/>
  <c r="P221" i="9" s="1"/>
  <c r="L221" i="9"/>
  <c r="J219" i="9"/>
  <c r="I219" i="9"/>
  <c r="J218" i="9"/>
  <c r="J217" i="9"/>
  <c r="J216" i="9"/>
  <c r="I216" i="9"/>
  <c r="K216" i="9" s="1"/>
  <c r="J215" i="9"/>
  <c r="I215" i="9"/>
  <c r="K215" i="9" s="1"/>
  <c r="J213" i="9"/>
  <c r="I213" i="9"/>
  <c r="K213" i="9" s="1"/>
  <c r="J212" i="9"/>
  <c r="J211" i="9"/>
  <c r="J210" i="9"/>
  <c r="J209" i="9"/>
  <c r="J204" i="9"/>
  <c r="I204" i="9"/>
  <c r="K204" i="9" s="1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O143" i="9"/>
  <c r="P141" i="9"/>
  <c r="N141" i="9"/>
  <c r="M141" i="9"/>
  <c r="L141" i="9"/>
  <c r="O141" i="9" s="1"/>
  <c r="J138" i="9"/>
  <c r="I138" i="9"/>
  <c r="K138" i="9" s="1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P122" i="9" s="1"/>
  <c r="O121" i="9"/>
  <c r="N119" i="9"/>
  <c r="M119" i="9"/>
  <c r="P119" i="9" s="1"/>
  <c r="L119" i="9"/>
  <c r="O119" i="9" s="1"/>
  <c r="J117" i="9"/>
  <c r="I117" i="9"/>
  <c r="K117" i="9" s="1"/>
  <c r="J115" i="9"/>
  <c r="J114" i="9"/>
  <c r="J113" i="9"/>
  <c r="I113" i="9"/>
  <c r="J112" i="9"/>
  <c r="I112" i="9"/>
  <c r="J111" i="9"/>
  <c r="I111" i="9"/>
  <c r="J110" i="9"/>
  <c r="I110" i="9"/>
  <c r="J109" i="9"/>
  <c r="I109" i="9"/>
  <c r="J108" i="9"/>
  <c r="I108" i="9"/>
  <c r="J107" i="9"/>
  <c r="J106" i="9"/>
  <c r="J105" i="9"/>
  <c r="J104" i="9"/>
  <c r="N102" i="9"/>
  <c r="L102" i="9"/>
  <c r="M102" i="9" s="1"/>
  <c r="L100" i="9"/>
  <c r="L99" i="9"/>
  <c r="N98" i="9"/>
  <c r="M98" i="9"/>
  <c r="O97" i="9"/>
  <c r="P95" i="9"/>
  <c r="N95" i="9"/>
  <c r="M95" i="9"/>
  <c r="L95" i="9"/>
  <c r="O95" i="9" s="1"/>
  <c r="J93" i="9"/>
  <c r="I93" i="9"/>
  <c r="J92" i="9"/>
  <c r="I92" i="9"/>
  <c r="J90" i="9"/>
  <c r="J89" i="9"/>
  <c r="J88" i="9"/>
  <c r="I88" i="9"/>
  <c r="J87" i="9"/>
  <c r="I87" i="9"/>
  <c r="K87" i="9" s="1"/>
  <c r="J86" i="9"/>
  <c r="I86" i="9"/>
  <c r="K86" i="9" s="1"/>
  <c r="J85" i="9"/>
  <c r="I85" i="9"/>
  <c r="J84" i="9"/>
  <c r="I84" i="9"/>
  <c r="J83" i="9"/>
  <c r="I83" i="9"/>
  <c r="J82" i="9"/>
  <c r="I82" i="9"/>
  <c r="J81" i="9"/>
  <c r="I81" i="9"/>
  <c r="J80" i="9"/>
  <c r="I80" i="9"/>
  <c r="J79" i="9"/>
  <c r="J78" i="9"/>
  <c r="J77" i="9"/>
  <c r="J76" i="9"/>
  <c r="N74" i="9"/>
  <c r="L74" i="9"/>
  <c r="M74" i="9" s="1"/>
  <c r="L72" i="9"/>
  <c r="L71" i="9"/>
  <c r="N70" i="9"/>
  <c r="M70" i="9"/>
  <c r="O69" i="9"/>
  <c r="O67" i="9"/>
  <c r="N67" i="9"/>
  <c r="M67" i="9"/>
  <c r="P67" i="9" s="1"/>
  <c r="L67" i="9"/>
  <c r="J65" i="9"/>
  <c r="I65" i="9"/>
  <c r="J64" i="9"/>
  <c r="I64" i="9"/>
  <c r="N61" i="9"/>
  <c r="L61" i="9"/>
  <c r="O61" i="9" s="1"/>
  <c r="L59" i="9"/>
  <c r="L58" i="9"/>
  <c r="N57" i="9"/>
  <c r="M57" i="9"/>
  <c r="M55" i="9" s="1"/>
  <c r="N54" i="9"/>
  <c r="M54" i="9"/>
  <c r="P54" i="9" s="1"/>
  <c r="L54" i="9"/>
  <c r="O54" i="9" s="1"/>
  <c r="N49" i="9"/>
  <c r="L49" i="9"/>
  <c r="L47" i="9"/>
  <c r="L46" i="9"/>
  <c r="N45" i="9"/>
  <c r="M45" i="9"/>
  <c r="O42" i="9"/>
  <c r="N42" i="9"/>
  <c r="M42" i="9"/>
  <c r="P42" i="9" s="1"/>
  <c r="L42" i="9"/>
  <c r="P36" i="9"/>
  <c r="O36" i="9"/>
  <c r="P35" i="9"/>
  <c r="O35" i="9"/>
  <c r="P34" i="9"/>
  <c r="M34" i="9"/>
  <c r="M33" i="9"/>
  <c r="P33" i="9" s="1"/>
  <c r="P32" i="9"/>
  <c r="M32" i="9"/>
  <c r="M31" i="9"/>
  <c r="P31" i="9" s="1"/>
  <c r="M30" i="9"/>
  <c r="P30" i="9" s="1"/>
  <c r="P25" i="9"/>
  <c r="O25" i="9"/>
  <c r="N25" i="9"/>
  <c r="N15" i="9" s="1"/>
  <c r="M25" i="9"/>
  <c r="L25" i="9"/>
  <c r="N24" i="9"/>
  <c r="M24" i="9"/>
  <c r="P24" i="9" s="1"/>
  <c r="P23" i="9"/>
  <c r="N23" i="9"/>
  <c r="M23" i="9"/>
  <c r="N21" i="9"/>
  <c r="M21" i="9"/>
  <c r="P21" i="9" s="1"/>
  <c r="L21" i="9"/>
  <c r="O21" i="9" s="1"/>
  <c r="P19" i="9"/>
  <c r="M19" i="9"/>
  <c r="L19" i="9"/>
  <c r="O19" i="9" s="1"/>
  <c r="O15" i="9"/>
  <c r="M15" i="9"/>
  <c r="P15" i="9" s="1"/>
  <c r="L15" i="9"/>
  <c r="M13" i="9"/>
  <c r="P13" i="9" s="1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K620" i="8" s="1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J594" i="8"/>
  <c r="I594" i="8"/>
  <c r="K594" i="8" s="1"/>
  <c r="J593" i="8"/>
  <c r="I593" i="8"/>
  <c r="J592" i="8"/>
  <c r="I592" i="8"/>
  <c r="K592" i="8" s="1"/>
  <c r="J591" i="8"/>
  <c r="I591" i="8"/>
  <c r="J590" i="8"/>
  <c r="I590" i="8"/>
  <c r="K590" i="8" s="1"/>
  <c r="J589" i="8"/>
  <c r="I589" i="8"/>
  <c r="N588" i="8"/>
  <c r="N587" i="8"/>
  <c r="N586" i="8"/>
  <c r="N585" i="8"/>
  <c r="N584" i="8"/>
  <c r="L584" i="8"/>
  <c r="N583" i="8"/>
  <c r="L583" i="8"/>
  <c r="O583" i="8" s="1"/>
  <c r="N582" i="8"/>
  <c r="L582" i="8"/>
  <c r="N581" i="8"/>
  <c r="L581" i="8"/>
  <c r="O581" i="8" s="1"/>
  <c r="N580" i="8"/>
  <c r="L580" i="8"/>
  <c r="J580" i="8"/>
  <c r="I580" i="8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N564" i="8"/>
  <c r="L564" i="8"/>
  <c r="J564" i="8"/>
  <c r="I564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J498" i="8"/>
  <c r="I498" i="8"/>
  <c r="J497" i="8"/>
  <c r="I497" i="8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J481" i="8"/>
  <c r="I481" i="8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J473" i="8"/>
  <c r="I473" i="8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J465" i="8"/>
  <c r="I465" i="8"/>
  <c r="J464" i="8"/>
  <c r="I464" i="8"/>
  <c r="N463" i="8"/>
  <c r="N462" i="8"/>
  <c r="N461" i="8"/>
  <c r="N460" i="8"/>
  <c r="N459" i="8"/>
  <c r="L459" i="8"/>
  <c r="N458" i="8"/>
  <c r="L458" i="8"/>
  <c r="O458" i="8" s="1"/>
  <c r="N457" i="8"/>
  <c r="L457" i="8"/>
  <c r="N456" i="8"/>
  <c r="L456" i="8"/>
  <c r="O456" i="8" s="1"/>
  <c r="N455" i="8"/>
  <c r="L455" i="8"/>
  <c r="J455" i="8"/>
  <c r="I455" i="8"/>
  <c r="J454" i="8"/>
  <c r="J453" i="8"/>
  <c r="J452" i="8"/>
  <c r="I452" i="8"/>
  <c r="K452" i="8" s="1"/>
  <c r="J451" i="8"/>
  <c r="I451" i="8"/>
  <c r="K451" i="8" s="1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K431" i="8" s="1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K420" i="8" s="1"/>
  <c r="J419" i="8"/>
  <c r="I419" i="8"/>
  <c r="K419" i="8" s="1"/>
  <c r="J418" i="8"/>
  <c r="I418" i="8"/>
  <c r="K418" i="8" s="1"/>
  <c r="J417" i="8"/>
  <c r="I417" i="8"/>
  <c r="K417" i="8" s="1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O382" i="8" s="1"/>
  <c r="J381" i="8"/>
  <c r="I381" i="8"/>
  <c r="N380" i="8"/>
  <c r="L380" i="8"/>
  <c r="J380" i="8"/>
  <c r="I380" i="8"/>
  <c r="J379" i="8"/>
  <c r="J378" i="8"/>
  <c r="J377" i="8"/>
  <c r="I377" i="8"/>
  <c r="K377" i="8" s="1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J370" i="8"/>
  <c r="I370" i="8"/>
  <c r="J369" i="8"/>
  <c r="I369" i="8"/>
  <c r="K369" i="8" s="1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O353" i="8" s="1"/>
  <c r="N352" i="8"/>
  <c r="L352" i="8"/>
  <c r="N351" i="8"/>
  <c r="L351" i="8"/>
  <c r="O351" i="8" s="1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J344" i="8"/>
  <c r="I344" i="8"/>
  <c r="K344" i="8" s="1"/>
  <c r="J343" i="8"/>
  <c r="I343" i="8"/>
  <c r="J342" i="8"/>
  <c r="I342" i="8"/>
  <c r="K342" i="8" s="1"/>
  <c r="J341" i="8"/>
  <c r="I341" i="8"/>
  <c r="J340" i="8"/>
  <c r="I340" i="8"/>
  <c r="J339" i="8"/>
  <c r="I339" i="8"/>
  <c r="K339" i="8" s="1"/>
  <c r="N337" i="8"/>
  <c r="L337" i="8"/>
  <c r="M337" i="8" s="1"/>
  <c r="L335" i="8"/>
  <c r="L334" i="8"/>
  <c r="N333" i="8"/>
  <c r="M333" i="8"/>
  <c r="O332" i="8"/>
  <c r="P330" i="8"/>
  <c r="N330" i="8"/>
  <c r="M330" i="8"/>
  <c r="L330" i="8"/>
  <c r="J328" i="8"/>
  <c r="I328" i="8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P314" i="8" s="1"/>
  <c r="O313" i="8"/>
  <c r="P311" i="8"/>
  <c r="O311" i="8"/>
  <c r="N311" i="8"/>
  <c r="M311" i="8"/>
  <c r="L311" i="8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L296" i="8"/>
  <c r="L295" i="8"/>
  <c r="N294" i="8"/>
  <c r="M294" i="8"/>
  <c r="M292" i="8" s="1"/>
  <c r="O293" i="8"/>
  <c r="P291" i="8"/>
  <c r="O291" i="8"/>
  <c r="N291" i="8"/>
  <c r="M291" i="8"/>
  <c r="L291" i="8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M273" i="8" s="1"/>
  <c r="O274" i="8"/>
  <c r="O272" i="8"/>
  <c r="N272" i="8"/>
  <c r="M272" i="8"/>
  <c r="P272" i="8" s="1"/>
  <c r="L272" i="8"/>
  <c r="J270" i="8"/>
  <c r="I270" i="8"/>
  <c r="J269" i="8"/>
  <c r="J268" i="8"/>
  <c r="J267" i="8"/>
  <c r="I267" i="8"/>
  <c r="J266" i="8"/>
  <c r="I266" i="8"/>
  <c r="J265" i="8"/>
  <c r="I265" i="8"/>
  <c r="J264" i="8"/>
  <c r="I264" i="8"/>
  <c r="J263" i="8"/>
  <c r="J262" i="8"/>
  <c r="J261" i="8"/>
  <c r="J260" i="8"/>
  <c r="N258" i="8"/>
  <c r="L258" i="8"/>
  <c r="O258" i="8" s="1"/>
  <c r="L256" i="8"/>
  <c r="L255" i="8"/>
  <c r="N254" i="8"/>
  <c r="M254" i="8"/>
  <c r="O253" i="8"/>
  <c r="P251" i="8"/>
  <c r="N251" i="8"/>
  <c r="M251" i="8"/>
  <c r="L251" i="8"/>
  <c r="O251" i="8" s="1"/>
  <c r="J249" i="8"/>
  <c r="I249" i="8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J234" i="8"/>
  <c r="J233" i="8"/>
  <c r="J232" i="8"/>
  <c r="J231" i="8"/>
  <c r="J229" i="8"/>
  <c r="I229" i="8"/>
  <c r="N228" i="8"/>
  <c r="L228" i="8"/>
  <c r="O228" i="8" s="1"/>
  <c r="L226" i="8"/>
  <c r="L225" i="8"/>
  <c r="N224" i="8"/>
  <c r="M224" i="8"/>
  <c r="M222" i="8" s="1"/>
  <c r="O223" i="8"/>
  <c r="O221" i="8"/>
  <c r="N221" i="8"/>
  <c r="M221" i="8"/>
  <c r="L221" i="8"/>
  <c r="J219" i="8"/>
  <c r="I219" i="8"/>
  <c r="J218" i="8"/>
  <c r="J217" i="8"/>
  <c r="J216" i="8"/>
  <c r="I216" i="8"/>
  <c r="K216" i="8" s="1"/>
  <c r="J215" i="8"/>
  <c r="I215" i="8"/>
  <c r="K215" i="8" s="1"/>
  <c r="J213" i="8"/>
  <c r="I213" i="8"/>
  <c r="K213" i="8" s="1"/>
  <c r="J212" i="8"/>
  <c r="J211" i="8"/>
  <c r="J210" i="8"/>
  <c r="J209" i="8"/>
  <c r="J204" i="8"/>
  <c r="I204" i="8"/>
  <c r="K204" i="8" s="1"/>
  <c r="J203" i="8"/>
  <c r="J202" i="8"/>
  <c r="J201" i="8"/>
  <c r="I201" i="8"/>
  <c r="K201" i="8" s="1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J185" i="8"/>
  <c r="I185" i="8"/>
  <c r="J184" i="8"/>
  <c r="J183" i="8"/>
  <c r="J182" i="8"/>
  <c r="J181" i="8"/>
  <c r="J176" i="8"/>
  <c r="I176" i="8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O143" i="8"/>
  <c r="P141" i="8"/>
  <c r="N141" i="8"/>
  <c r="M141" i="8"/>
  <c r="L141" i="8"/>
  <c r="J138" i="8"/>
  <c r="I138" i="8"/>
  <c r="K138" i="8" s="1"/>
  <c r="J135" i="8"/>
  <c r="J134" i="8"/>
  <c r="J133" i="8"/>
  <c r="I133" i="8"/>
  <c r="J132" i="8"/>
  <c r="I132" i="8"/>
  <c r="J131" i="8"/>
  <c r="J130" i="8"/>
  <c r="J129" i="8"/>
  <c r="J128" i="8"/>
  <c r="N126" i="8"/>
  <c r="L126" i="8"/>
  <c r="O126" i="8" s="1"/>
  <c r="L124" i="8"/>
  <c r="L123" i="8"/>
  <c r="N122" i="8"/>
  <c r="M122" i="8"/>
  <c r="O121" i="8"/>
  <c r="O119" i="8"/>
  <c r="N119" i="8"/>
  <c r="M119" i="8"/>
  <c r="L119" i="8"/>
  <c r="J117" i="8"/>
  <c r="I117" i="8"/>
  <c r="J115" i="8"/>
  <c r="J114" i="8"/>
  <c r="J113" i="8"/>
  <c r="I113" i="8"/>
  <c r="K113" i="8" s="1"/>
  <c r="J112" i="8"/>
  <c r="I112" i="8"/>
  <c r="K112" i="8" s="1"/>
  <c r="J111" i="8"/>
  <c r="I111" i="8"/>
  <c r="K111" i="8" s="1"/>
  <c r="J110" i="8"/>
  <c r="I110" i="8"/>
  <c r="K110" i="8" s="1"/>
  <c r="J109" i="8"/>
  <c r="I109" i="8"/>
  <c r="K109" i="8" s="1"/>
  <c r="J108" i="8"/>
  <c r="I108" i="8"/>
  <c r="K108" i="8" s="1"/>
  <c r="J107" i="8"/>
  <c r="J106" i="8"/>
  <c r="J105" i="8"/>
  <c r="J104" i="8"/>
  <c r="N102" i="8"/>
  <c r="L102" i="8"/>
  <c r="O102" i="8" s="1"/>
  <c r="L100" i="8"/>
  <c r="L99" i="8"/>
  <c r="N98" i="8"/>
  <c r="M98" i="8"/>
  <c r="P98" i="8" s="1"/>
  <c r="O97" i="8"/>
  <c r="N95" i="8"/>
  <c r="M95" i="8"/>
  <c r="P95" i="8" s="1"/>
  <c r="L95" i="8"/>
  <c r="O95" i="8" s="1"/>
  <c r="J93" i="8"/>
  <c r="I93" i="8"/>
  <c r="K93" i="8" s="1"/>
  <c r="J92" i="8"/>
  <c r="I92" i="8"/>
  <c r="K92" i="8" s="1"/>
  <c r="J90" i="8"/>
  <c r="J89" i="8"/>
  <c r="J88" i="8"/>
  <c r="I88" i="8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J82" i="8"/>
  <c r="I82" i="8"/>
  <c r="J81" i="8"/>
  <c r="I81" i="8"/>
  <c r="J80" i="8"/>
  <c r="I80" i="8"/>
  <c r="J79" i="8"/>
  <c r="J78" i="8"/>
  <c r="J77" i="8"/>
  <c r="J76" i="8"/>
  <c r="N74" i="8"/>
  <c r="L74" i="8"/>
  <c r="O74" i="8" s="1"/>
  <c r="L72" i="8"/>
  <c r="L71" i="8"/>
  <c r="N70" i="8"/>
  <c r="M70" i="8"/>
  <c r="M68" i="8" s="1"/>
  <c r="O69" i="8"/>
  <c r="O67" i="8"/>
  <c r="N67" i="8"/>
  <c r="M67" i="8"/>
  <c r="P67" i="8" s="1"/>
  <c r="L67" i="8"/>
  <c r="J65" i="8"/>
  <c r="I65" i="8"/>
  <c r="J64" i="8"/>
  <c r="I64" i="8"/>
  <c r="N61" i="8"/>
  <c r="L61" i="8"/>
  <c r="O61" i="8" s="1"/>
  <c r="L59" i="8"/>
  <c r="L58" i="8"/>
  <c r="N57" i="8"/>
  <c r="M57" i="8"/>
  <c r="M55" i="8" s="1"/>
  <c r="N54" i="8"/>
  <c r="M54" i="8"/>
  <c r="P54" i="8" s="1"/>
  <c r="L54" i="8"/>
  <c r="O54" i="8" s="1"/>
  <c r="N49" i="8"/>
  <c r="L49" i="8"/>
  <c r="L47" i="8"/>
  <c r="L46" i="8"/>
  <c r="N45" i="8"/>
  <c r="M45" i="8"/>
  <c r="O42" i="8"/>
  <c r="N42" i="8"/>
  <c r="M42" i="8"/>
  <c r="L42" i="8"/>
  <c r="P36" i="8"/>
  <c r="O36" i="8"/>
  <c r="P35" i="8"/>
  <c r="O35" i="8"/>
  <c r="P34" i="8"/>
  <c r="M34" i="8"/>
  <c r="M33" i="8"/>
  <c r="P33" i="8" s="1"/>
  <c r="M32" i="8"/>
  <c r="P32" i="8" s="1"/>
  <c r="P31" i="8"/>
  <c r="M31" i="8"/>
  <c r="M30" i="8"/>
  <c r="P30" i="8" s="1"/>
  <c r="M29" i="8"/>
  <c r="P25" i="8"/>
  <c r="N25" i="8"/>
  <c r="M25" i="8"/>
  <c r="L25" i="8"/>
  <c r="O25" i="8" s="1"/>
  <c r="N24" i="8"/>
  <c r="M24" i="8"/>
  <c r="P24" i="8" s="1"/>
  <c r="N23" i="8"/>
  <c r="M23" i="8"/>
  <c r="P23" i="8" s="1"/>
  <c r="N21" i="8"/>
  <c r="M21" i="8"/>
  <c r="M11" i="8" s="1"/>
  <c r="L21" i="8"/>
  <c r="N19" i="8"/>
  <c r="M19" i="8"/>
  <c r="N15" i="8"/>
  <c r="M15" i="8"/>
  <c r="P15" i="8" s="1"/>
  <c r="M13" i="8"/>
  <c r="P13" i="8" s="1"/>
  <c r="J635" i="7"/>
  <c r="I635" i="7"/>
  <c r="J634" i="7"/>
  <c r="I634" i="7"/>
  <c r="J633" i="7"/>
  <c r="I633" i="7"/>
  <c r="J632" i="7"/>
  <c r="I632" i="7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K622" i="7" s="1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J594" i="7"/>
  <c r="I594" i="7"/>
  <c r="K594" i="7" s="1"/>
  <c r="J593" i="7"/>
  <c r="I593" i="7"/>
  <c r="J592" i="7"/>
  <c r="I592" i="7"/>
  <c r="K592" i="7" s="1"/>
  <c r="J591" i="7"/>
  <c r="I591" i="7"/>
  <c r="J590" i="7"/>
  <c r="I590" i="7"/>
  <c r="K590" i="7" s="1"/>
  <c r="J589" i="7"/>
  <c r="I589" i="7"/>
  <c r="N588" i="7"/>
  <c r="N587" i="7"/>
  <c r="N586" i="7"/>
  <c r="N585" i="7"/>
  <c r="N584" i="7"/>
  <c r="L584" i="7"/>
  <c r="N583" i="7"/>
  <c r="L583" i="7"/>
  <c r="O583" i="7" s="1"/>
  <c r="N582" i="7"/>
  <c r="L582" i="7"/>
  <c r="N581" i="7"/>
  <c r="L581" i="7"/>
  <c r="O581" i="7" s="1"/>
  <c r="N580" i="7"/>
  <c r="L580" i="7"/>
  <c r="J580" i="7"/>
  <c r="I580" i="7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1" i="7"/>
  <c r="I561" i="7"/>
  <c r="K561" i="7" s="1"/>
  <c r="J560" i="7"/>
  <c r="I560" i="7"/>
  <c r="N559" i="7"/>
  <c r="N558" i="7"/>
  <c r="N557" i="7"/>
  <c r="N556" i="7"/>
  <c r="N555" i="7"/>
  <c r="L555" i="7"/>
  <c r="N554" i="7"/>
  <c r="L554" i="7"/>
  <c r="O554" i="7" s="1"/>
  <c r="N553" i="7"/>
  <c r="L553" i="7"/>
  <c r="N552" i="7"/>
  <c r="L552" i="7"/>
  <c r="O552" i="7" s="1"/>
  <c r="N551" i="7"/>
  <c r="L551" i="7"/>
  <c r="J551" i="7"/>
  <c r="I551" i="7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J498" i="7"/>
  <c r="I498" i="7"/>
  <c r="J497" i="7"/>
  <c r="I497" i="7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J481" i="7"/>
  <c r="I481" i="7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J473" i="7"/>
  <c r="I473" i="7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J465" i="7"/>
  <c r="I465" i="7"/>
  <c r="J464" i="7"/>
  <c r="I464" i="7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J454" i="7"/>
  <c r="J453" i="7"/>
  <c r="J452" i="7"/>
  <c r="I452" i="7"/>
  <c r="K452" i="7" s="1"/>
  <c r="J451" i="7"/>
  <c r="I451" i="7"/>
  <c r="K451" i="7" s="1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J381" i="7"/>
  <c r="I381" i="7"/>
  <c r="N380" i="7"/>
  <c r="L380" i="7"/>
  <c r="J380" i="7"/>
  <c r="I380" i="7"/>
  <c r="J379" i="7"/>
  <c r="J378" i="7"/>
  <c r="J377" i="7"/>
  <c r="I377" i="7"/>
  <c r="J376" i="7"/>
  <c r="I376" i="7"/>
  <c r="J375" i="7"/>
  <c r="I375" i="7"/>
  <c r="J374" i="7"/>
  <c r="I374" i="7"/>
  <c r="J373" i="7"/>
  <c r="I373" i="7"/>
  <c r="K373" i="7" s="1"/>
  <c r="J372" i="7"/>
  <c r="I372" i="7"/>
  <c r="J371" i="7"/>
  <c r="I371" i="7"/>
  <c r="K371" i="7" s="1"/>
  <c r="J370" i="7"/>
  <c r="I370" i="7"/>
  <c r="J369" i="7"/>
  <c r="I369" i="7"/>
  <c r="J368" i="7"/>
  <c r="I368" i="7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O353" i="7" s="1"/>
  <c r="N352" i="7"/>
  <c r="L352" i="7"/>
  <c r="N351" i="7"/>
  <c r="L351" i="7"/>
  <c r="O351" i="7" s="1"/>
  <c r="J350" i="7"/>
  <c r="I350" i="7"/>
  <c r="N349" i="7"/>
  <c r="L349" i="7"/>
  <c r="J349" i="7"/>
  <c r="I349" i="7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L335" i="7"/>
  <c r="L334" i="7"/>
  <c r="N333" i="7"/>
  <c r="M333" i="7"/>
  <c r="O332" i="7"/>
  <c r="P330" i="7"/>
  <c r="O330" i="7"/>
  <c r="N330" i="7"/>
  <c r="M330" i="7"/>
  <c r="L330" i="7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P314" i="7" s="1"/>
  <c r="O313" i="7"/>
  <c r="N311" i="7"/>
  <c r="M311" i="7"/>
  <c r="P311" i="7" s="1"/>
  <c r="L311" i="7"/>
  <c r="O311" i="7" s="1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M292" i="7" s="1"/>
  <c r="P292" i="7" s="1"/>
  <c r="O293" i="7"/>
  <c r="O291" i="7"/>
  <c r="N291" i="7"/>
  <c r="M291" i="7"/>
  <c r="P291" i="7" s="1"/>
  <c r="L291" i="7"/>
  <c r="J289" i="7"/>
  <c r="I289" i="7"/>
  <c r="K289" i="7" s="1"/>
  <c r="J287" i="7"/>
  <c r="J286" i="7"/>
  <c r="J285" i="7"/>
  <c r="I285" i="7"/>
  <c r="K285" i="7" s="1"/>
  <c r="J284" i="7"/>
  <c r="J283" i="7"/>
  <c r="J282" i="7"/>
  <c r="J281" i="7"/>
  <c r="N279" i="7"/>
  <c r="L279" i="7"/>
  <c r="O279" i="7" s="1"/>
  <c r="L277" i="7"/>
  <c r="L276" i="7"/>
  <c r="N275" i="7"/>
  <c r="M275" i="7"/>
  <c r="P275" i="7" s="1"/>
  <c r="O274" i="7"/>
  <c r="P272" i="7"/>
  <c r="N272" i="7"/>
  <c r="M272" i="7"/>
  <c r="L272" i="7"/>
  <c r="O272" i="7" s="1"/>
  <c r="J270" i="7"/>
  <c r="I270" i="7"/>
  <c r="K270" i="7" s="1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P254" i="7" s="1"/>
  <c r="O253" i="7"/>
  <c r="P251" i="7"/>
  <c r="O251" i="7"/>
  <c r="N251" i="7"/>
  <c r="M251" i="7"/>
  <c r="L251" i="7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M222" i="7" s="1"/>
  <c r="O223" i="7"/>
  <c r="P221" i="7"/>
  <c r="N221" i="7"/>
  <c r="M221" i="7"/>
  <c r="L221" i="7"/>
  <c r="O221" i="7" s="1"/>
  <c r="J219" i="7"/>
  <c r="I219" i="7"/>
  <c r="J218" i="7"/>
  <c r="J217" i="7"/>
  <c r="J216" i="7"/>
  <c r="I216" i="7"/>
  <c r="K216" i="7" s="1"/>
  <c r="J215" i="7"/>
  <c r="I215" i="7"/>
  <c r="K215" i="7" s="1"/>
  <c r="J213" i="7"/>
  <c r="I213" i="7"/>
  <c r="K213" i="7" s="1"/>
  <c r="J212" i="7"/>
  <c r="J211" i="7"/>
  <c r="J210" i="7"/>
  <c r="J209" i="7"/>
  <c r="J204" i="7"/>
  <c r="I204" i="7"/>
  <c r="K204" i="7" s="1"/>
  <c r="J203" i="7"/>
  <c r="J202" i="7"/>
  <c r="J201" i="7"/>
  <c r="I201" i="7"/>
  <c r="K201" i="7" s="1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J185" i="7"/>
  <c r="I185" i="7"/>
  <c r="J184" i="7"/>
  <c r="J183" i="7"/>
  <c r="J182" i="7"/>
  <c r="J181" i="7"/>
  <c r="J176" i="7"/>
  <c r="I176" i="7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O143" i="7"/>
  <c r="P141" i="7"/>
  <c r="O141" i="7"/>
  <c r="N141" i="7"/>
  <c r="M141" i="7"/>
  <c r="L141" i="7"/>
  <c r="J138" i="7"/>
  <c r="I138" i="7"/>
  <c r="K138" i="7" s="1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O121" i="7"/>
  <c r="P119" i="7"/>
  <c r="N119" i="7"/>
  <c r="M119" i="7"/>
  <c r="L119" i="7"/>
  <c r="O119" i="7" s="1"/>
  <c r="J117" i="7"/>
  <c r="I117" i="7"/>
  <c r="K117" i="7" s="1"/>
  <c r="J115" i="7"/>
  <c r="J114" i="7"/>
  <c r="J113" i="7"/>
  <c r="I113" i="7"/>
  <c r="J112" i="7"/>
  <c r="I112" i="7"/>
  <c r="J111" i="7"/>
  <c r="I111" i="7"/>
  <c r="J110" i="7"/>
  <c r="I110" i="7"/>
  <c r="J109" i="7"/>
  <c r="I109" i="7"/>
  <c r="J108" i="7"/>
  <c r="I108" i="7"/>
  <c r="J107" i="7"/>
  <c r="J106" i="7"/>
  <c r="J105" i="7"/>
  <c r="J104" i="7"/>
  <c r="N102" i="7"/>
  <c r="L102" i="7"/>
  <c r="L100" i="7"/>
  <c r="L99" i="7"/>
  <c r="N98" i="7"/>
  <c r="M98" i="7"/>
  <c r="O97" i="7"/>
  <c r="P95" i="7"/>
  <c r="O95" i="7"/>
  <c r="N95" i="7"/>
  <c r="M95" i="7"/>
  <c r="L95" i="7"/>
  <c r="J93" i="7"/>
  <c r="I93" i="7"/>
  <c r="J92" i="7"/>
  <c r="I92" i="7"/>
  <c r="J90" i="7"/>
  <c r="J89" i="7"/>
  <c r="J88" i="7"/>
  <c r="I88" i="7"/>
  <c r="K88" i="7" s="1"/>
  <c r="J87" i="7"/>
  <c r="I87" i="7"/>
  <c r="K87" i="7" s="1"/>
  <c r="J86" i="7"/>
  <c r="I86" i="7"/>
  <c r="K86" i="7" s="1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K81" i="7" s="1"/>
  <c r="J80" i="7"/>
  <c r="I80" i="7"/>
  <c r="K80" i="7" s="1"/>
  <c r="J79" i="7"/>
  <c r="J78" i="7"/>
  <c r="J77" i="7"/>
  <c r="J76" i="7"/>
  <c r="N74" i="7"/>
  <c r="L74" i="7"/>
  <c r="O74" i="7" s="1"/>
  <c r="L72" i="7"/>
  <c r="L71" i="7"/>
  <c r="N70" i="7"/>
  <c r="M70" i="7"/>
  <c r="M68" i="7" s="1"/>
  <c r="P68" i="7" s="1"/>
  <c r="O69" i="7"/>
  <c r="P67" i="7"/>
  <c r="N67" i="7"/>
  <c r="M67" i="7"/>
  <c r="L67" i="7"/>
  <c r="J65" i="7"/>
  <c r="I65" i="7"/>
  <c r="K65" i="7" s="1"/>
  <c r="J64" i="7"/>
  <c r="I64" i="7"/>
  <c r="K64" i="7" s="1"/>
  <c r="N61" i="7"/>
  <c r="L61" i="7"/>
  <c r="O61" i="7" s="1"/>
  <c r="L59" i="7"/>
  <c r="L58" i="7"/>
  <c r="N57" i="7"/>
  <c r="M57" i="7"/>
  <c r="M55" i="7" s="1"/>
  <c r="P54" i="7"/>
  <c r="O54" i="7"/>
  <c r="N54" i="7"/>
  <c r="M54" i="7"/>
  <c r="L54" i="7"/>
  <c r="N49" i="7"/>
  <c r="L49" i="7"/>
  <c r="L47" i="7"/>
  <c r="L46" i="7"/>
  <c r="N45" i="7"/>
  <c r="M45" i="7"/>
  <c r="O42" i="7"/>
  <c r="N42" i="7"/>
  <c r="M42" i="7"/>
  <c r="L42" i="7"/>
  <c r="P36" i="7"/>
  <c r="O36" i="7"/>
  <c r="P35" i="7"/>
  <c r="O35" i="7"/>
  <c r="M34" i="7"/>
  <c r="P34" i="7" s="1"/>
  <c r="M33" i="7"/>
  <c r="P33" i="7" s="1"/>
  <c r="P32" i="7"/>
  <c r="M32" i="7"/>
  <c r="P31" i="7"/>
  <c r="M31" i="7"/>
  <c r="M29" i="7" s="1"/>
  <c r="M30" i="7"/>
  <c r="P30" i="7" s="1"/>
  <c r="N25" i="7"/>
  <c r="M25" i="7"/>
  <c r="P25" i="7" s="1"/>
  <c r="L25" i="7"/>
  <c r="N24" i="7"/>
  <c r="M24" i="7"/>
  <c r="P23" i="7"/>
  <c r="N23" i="7"/>
  <c r="M23" i="7"/>
  <c r="N21" i="7"/>
  <c r="M21" i="7"/>
  <c r="M19" i="7" s="1"/>
  <c r="L21" i="7"/>
  <c r="P19" i="7"/>
  <c r="N19" i="7"/>
  <c r="L19" i="7"/>
  <c r="N15" i="7"/>
  <c r="P11" i="7"/>
  <c r="M11" i="7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J594" i="6"/>
  <c r="I594" i="6"/>
  <c r="K594" i="6" s="1"/>
  <c r="J593" i="6"/>
  <c r="I593" i="6"/>
  <c r="J592" i="6"/>
  <c r="I592" i="6"/>
  <c r="K592" i="6" s="1"/>
  <c r="J591" i="6"/>
  <c r="I591" i="6"/>
  <c r="J590" i="6"/>
  <c r="I590" i="6"/>
  <c r="K590" i="6" s="1"/>
  <c r="J589" i="6"/>
  <c r="I589" i="6"/>
  <c r="N588" i="6"/>
  <c r="N587" i="6"/>
  <c r="N586" i="6"/>
  <c r="N585" i="6"/>
  <c r="N584" i="6"/>
  <c r="L584" i="6"/>
  <c r="N583" i="6"/>
  <c r="L583" i="6"/>
  <c r="O583" i="6" s="1"/>
  <c r="N582" i="6"/>
  <c r="L582" i="6"/>
  <c r="N581" i="6"/>
  <c r="L581" i="6"/>
  <c r="O581" i="6" s="1"/>
  <c r="N580" i="6"/>
  <c r="L580" i="6"/>
  <c r="J580" i="6"/>
  <c r="I580" i="6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1" i="6"/>
  <c r="I561" i="6"/>
  <c r="K561" i="6" s="1"/>
  <c r="J560" i="6"/>
  <c r="I560" i="6"/>
  <c r="N559" i="6"/>
  <c r="N558" i="6"/>
  <c r="N557" i="6"/>
  <c r="N556" i="6"/>
  <c r="N555" i="6"/>
  <c r="L555" i="6"/>
  <c r="N554" i="6"/>
  <c r="L554" i="6"/>
  <c r="O554" i="6" s="1"/>
  <c r="N553" i="6"/>
  <c r="L553" i="6"/>
  <c r="N552" i="6"/>
  <c r="L552" i="6"/>
  <c r="O552" i="6" s="1"/>
  <c r="N551" i="6"/>
  <c r="L551" i="6"/>
  <c r="J551" i="6"/>
  <c r="I551" i="6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J498" i="6"/>
  <c r="I498" i="6"/>
  <c r="J497" i="6"/>
  <c r="I497" i="6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J376" i="6"/>
  <c r="I376" i="6"/>
  <c r="J375" i="6"/>
  <c r="I375" i="6"/>
  <c r="J374" i="6"/>
  <c r="I374" i="6"/>
  <c r="J373" i="6"/>
  <c r="I373" i="6"/>
  <c r="K373" i="6" s="1"/>
  <c r="J372" i="6"/>
  <c r="I372" i="6"/>
  <c r="J371" i="6"/>
  <c r="I371" i="6"/>
  <c r="K371" i="6" s="1"/>
  <c r="J370" i="6"/>
  <c r="I370" i="6"/>
  <c r="J369" i="6"/>
  <c r="I369" i="6"/>
  <c r="K369" i="6" s="1"/>
  <c r="J368" i="6"/>
  <c r="I368" i="6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N353" i="6"/>
  <c r="L353" i="6"/>
  <c r="N352" i="6"/>
  <c r="L352" i="6"/>
  <c r="N351" i="6"/>
  <c r="L351" i="6"/>
  <c r="O351" i="6" s="1"/>
  <c r="J350" i="6"/>
  <c r="I350" i="6"/>
  <c r="N349" i="6"/>
  <c r="L349" i="6"/>
  <c r="J349" i="6"/>
  <c r="I349" i="6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O337" i="6" s="1"/>
  <c r="L335" i="6"/>
  <c r="L334" i="6"/>
  <c r="N333" i="6"/>
  <c r="M333" i="6"/>
  <c r="O332" i="6"/>
  <c r="P330" i="6"/>
  <c r="N330" i="6"/>
  <c r="M330" i="6"/>
  <c r="L330" i="6"/>
  <c r="O330" i="6" s="1"/>
  <c r="J328" i="6"/>
  <c r="I328" i="6"/>
  <c r="J326" i="6"/>
  <c r="J325" i="6"/>
  <c r="J324" i="6"/>
  <c r="I324" i="6"/>
  <c r="J323" i="6"/>
  <c r="J322" i="6"/>
  <c r="J321" i="6"/>
  <c r="J320" i="6"/>
  <c r="N318" i="6"/>
  <c r="L318" i="6"/>
  <c r="O318" i="6" s="1"/>
  <c r="L316" i="6"/>
  <c r="L315" i="6"/>
  <c r="N314" i="6"/>
  <c r="M314" i="6"/>
  <c r="M312" i="6" s="1"/>
  <c r="O313" i="6"/>
  <c r="O311" i="6"/>
  <c r="N311" i="6"/>
  <c r="M311" i="6"/>
  <c r="P311" i="6" s="1"/>
  <c r="L311" i="6"/>
  <c r="J309" i="6"/>
  <c r="I309" i="6"/>
  <c r="J308" i="6"/>
  <c r="J307" i="6"/>
  <c r="J306" i="6"/>
  <c r="I306" i="6"/>
  <c r="J304" i="6"/>
  <c r="I304" i="6"/>
  <c r="J303" i="6"/>
  <c r="J302" i="6"/>
  <c r="J301" i="6"/>
  <c r="J300" i="6"/>
  <c r="N298" i="6"/>
  <c r="L298" i="6"/>
  <c r="O298" i="6" s="1"/>
  <c r="L296" i="6"/>
  <c r="L295" i="6"/>
  <c r="N294" i="6"/>
  <c r="M294" i="6"/>
  <c r="O293" i="6"/>
  <c r="P291" i="6"/>
  <c r="O291" i="6"/>
  <c r="N291" i="6"/>
  <c r="M291" i="6"/>
  <c r="L291" i="6"/>
  <c r="J289" i="6"/>
  <c r="I289" i="6"/>
  <c r="J287" i="6"/>
  <c r="J286" i="6"/>
  <c r="J285" i="6"/>
  <c r="I285" i="6"/>
  <c r="J284" i="6"/>
  <c r="J283" i="6"/>
  <c r="J282" i="6"/>
  <c r="J281" i="6"/>
  <c r="N279" i="6"/>
  <c r="L279" i="6"/>
  <c r="O279" i="6" s="1"/>
  <c r="L277" i="6"/>
  <c r="L276" i="6"/>
  <c r="N275" i="6"/>
  <c r="M275" i="6"/>
  <c r="M273" i="6" s="1"/>
  <c r="O274" i="6"/>
  <c r="N272" i="6"/>
  <c r="M272" i="6"/>
  <c r="P272" i="6" s="1"/>
  <c r="L272" i="6"/>
  <c r="O272" i="6" s="1"/>
  <c r="J270" i="6"/>
  <c r="I270" i="6"/>
  <c r="J269" i="6"/>
  <c r="J268" i="6"/>
  <c r="J267" i="6"/>
  <c r="I267" i="6"/>
  <c r="J266" i="6"/>
  <c r="I266" i="6"/>
  <c r="J265" i="6"/>
  <c r="I265" i="6"/>
  <c r="J264" i="6"/>
  <c r="I264" i="6"/>
  <c r="J263" i="6"/>
  <c r="J262" i="6"/>
  <c r="J261" i="6"/>
  <c r="J260" i="6"/>
  <c r="N258" i="6"/>
  <c r="L258" i="6"/>
  <c r="O258" i="6" s="1"/>
  <c r="L256" i="6"/>
  <c r="L255" i="6"/>
  <c r="N254" i="6"/>
  <c r="M254" i="6"/>
  <c r="O253" i="6"/>
  <c r="N251" i="6"/>
  <c r="M251" i="6"/>
  <c r="P251" i="6" s="1"/>
  <c r="L251" i="6"/>
  <c r="O251" i="6" s="1"/>
  <c r="J249" i="6"/>
  <c r="I249" i="6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M222" i="6" s="1"/>
  <c r="O223" i="6"/>
  <c r="P221" i="6"/>
  <c r="N221" i="6"/>
  <c r="M221" i="6"/>
  <c r="L221" i="6"/>
  <c r="O221" i="6" s="1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M142" i="6" s="1"/>
  <c r="O143" i="6"/>
  <c r="N141" i="6"/>
  <c r="M141" i="6"/>
  <c r="P141" i="6" s="1"/>
  <c r="L141" i="6"/>
  <c r="O141" i="6" s="1"/>
  <c r="J138" i="6"/>
  <c r="I138" i="6"/>
  <c r="J135" i="6"/>
  <c r="J134" i="6"/>
  <c r="J133" i="6"/>
  <c r="I133" i="6"/>
  <c r="K133" i="6" s="1"/>
  <c r="J132" i="6"/>
  <c r="I132" i="6"/>
  <c r="K132" i="6" s="1"/>
  <c r="J131" i="6"/>
  <c r="J130" i="6"/>
  <c r="J129" i="6"/>
  <c r="J128" i="6"/>
  <c r="N126" i="6"/>
  <c r="L126" i="6"/>
  <c r="O126" i="6" s="1"/>
  <c r="L124" i="6"/>
  <c r="L123" i="6"/>
  <c r="N122" i="6"/>
  <c r="M122" i="6"/>
  <c r="P122" i="6" s="1"/>
  <c r="O121" i="6"/>
  <c r="N119" i="6"/>
  <c r="M119" i="6"/>
  <c r="P119" i="6" s="1"/>
  <c r="L119" i="6"/>
  <c r="O119" i="6" s="1"/>
  <c r="J117" i="6"/>
  <c r="I117" i="6"/>
  <c r="K117" i="6" s="1"/>
  <c r="J115" i="6"/>
  <c r="J114" i="6"/>
  <c r="J113" i="6"/>
  <c r="I113" i="6"/>
  <c r="J112" i="6"/>
  <c r="I112" i="6"/>
  <c r="J111" i="6"/>
  <c r="I111" i="6"/>
  <c r="J110" i="6"/>
  <c r="I110" i="6"/>
  <c r="J109" i="6"/>
  <c r="I109" i="6"/>
  <c r="J108" i="6"/>
  <c r="I108" i="6"/>
  <c r="J107" i="6"/>
  <c r="J106" i="6"/>
  <c r="J105" i="6"/>
  <c r="J104" i="6"/>
  <c r="N102" i="6"/>
  <c r="L102" i="6"/>
  <c r="L100" i="6"/>
  <c r="L99" i="6"/>
  <c r="N98" i="6"/>
  <c r="M98" i="6"/>
  <c r="O97" i="6"/>
  <c r="N95" i="6"/>
  <c r="M95" i="6"/>
  <c r="P95" i="6" s="1"/>
  <c r="L95" i="6"/>
  <c r="O95" i="6" s="1"/>
  <c r="J93" i="6"/>
  <c r="I93" i="6"/>
  <c r="J92" i="6"/>
  <c r="I92" i="6"/>
  <c r="J90" i="6"/>
  <c r="J89" i="6"/>
  <c r="J88" i="6"/>
  <c r="I88" i="6"/>
  <c r="K88" i="6" s="1"/>
  <c r="J87" i="6"/>
  <c r="I87" i="6"/>
  <c r="K87" i="6" s="1"/>
  <c r="J86" i="6"/>
  <c r="I86" i="6"/>
  <c r="K86" i="6" s="1"/>
  <c r="J85" i="6"/>
  <c r="I85" i="6"/>
  <c r="K85" i="6" s="1"/>
  <c r="J84" i="6"/>
  <c r="I84" i="6"/>
  <c r="K84" i="6" s="1"/>
  <c r="J83" i="6"/>
  <c r="I83" i="6"/>
  <c r="K83" i="6" s="1"/>
  <c r="J82" i="6"/>
  <c r="I82" i="6"/>
  <c r="K82" i="6" s="1"/>
  <c r="J81" i="6"/>
  <c r="I81" i="6"/>
  <c r="K81" i="6" s="1"/>
  <c r="J80" i="6"/>
  <c r="I80" i="6"/>
  <c r="K80" i="6" s="1"/>
  <c r="J79" i="6"/>
  <c r="J78" i="6"/>
  <c r="J77" i="6"/>
  <c r="J76" i="6"/>
  <c r="N74" i="6"/>
  <c r="L74" i="6"/>
  <c r="O74" i="6" s="1"/>
  <c r="L72" i="6"/>
  <c r="L71" i="6"/>
  <c r="N70" i="6"/>
  <c r="M70" i="6"/>
  <c r="P70" i="6" s="1"/>
  <c r="O69" i="6"/>
  <c r="N67" i="6"/>
  <c r="M67" i="6"/>
  <c r="P67" i="6" s="1"/>
  <c r="L67" i="6"/>
  <c r="O67" i="6" s="1"/>
  <c r="J65" i="6"/>
  <c r="I65" i="6"/>
  <c r="K65" i="6" s="1"/>
  <c r="J64" i="6"/>
  <c r="I64" i="6"/>
  <c r="K64" i="6" s="1"/>
  <c r="N61" i="6"/>
  <c r="L61" i="6"/>
  <c r="O61" i="6" s="1"/>
  <c r="L59" i="6"/>
  <c r="L58" i="6"/>
  <c r="N57" i="6"/>
  <c r="M57" i="6"/>
  <c r="N54" i="6"/>
  <c r="M54" i="6"/>
  <c r="P54" i="6" s="1"/>
  <c r="L54" i="6"/>
  <c r="N49" i="6"/>
  <c r="L49" i="6"/>
  <c r="L47" i="6"/>
  <c r="L46" i="6"/>
  <c r="N45" i="6"/>
  <c r="M45" i="6"/>
  <c r="P42" i="6"/>
  <c r="O42" i="6"/>
  <c r="N42" i="6"/>
  <c r="M42" i="6"/>
  <c r="L42" i="6"/>
  <c r="P36" i="6"/>
  <c r="O36" i="6"/>
  <c r="P35" i="6"/>
  <c r="O35" i="6"/>
  <c r="M34" i="6"/>
  <c r="P34" i="6" s="1"/>
  <c r="P33" i="6"/>
  <c r="M33" i="6"/>
  <c r="M32" i="6"/>
  <c r="P32" i="6" s="1"/>
  <c r="M31" i="6"/>
  <c r="M29" i="6" s="1"/>
  <c r="P29" i="6" s="1"/>
  <c r="M30" i="6"/>
  <c r="P30" i="6" s="1"/>
  <c r="O25" i="6"/>
  <c r="N25" i="6"/>
  <c r="N15" i="6" s="1"/>
  <c r="M25" i="6"/>
  <c r="P25" i="6" s="1"/>
  <c r="L25" i="6"/>
  <c r="P24" i="6"/>
  <c r="N24" i="6"/>
  <c r="M24" i="6"/>
  <c r="P23" i="6"/>
  <c r="N23" i="6"/>
  <c r="M23" i="6"/>
  <c r="O21" i="6"/>
  <c r="N21" i="6"/>
  <c r="N19" i="6" s="1"/>
  <c r="M21" i="6"/>
  <c r="P21" i="6" s="1"/>
  <c r="L21" i="6"/>
  <c r="O19" i="6"/>
  <c r="M19" i="6"/>
  <c r="P19" i="6" s="1"/>
  <c r="L19" i="6"/>
  <c r="P15" i="6"/>
  <c r="M15" i="6"/>
  <c r="L15" i="6"/>
  <c r="O15" i="6" s="1"/>
  <c r="M14" i="6"/>
  <c r="P14" i="6" s="1"/>
  <c r="M13" i="6"/>
  <c r="P13" i="6" s="1"/>
  <c r="J635" i="5"/>
  <c r="I635" i="5"/>
  <c r="J634" i="5"/>
  <c r="I634" i="5"/>
  <c r="J633" i="5"/>
  <c r="I633" i="5"/>
  <c r="J632" i="5"/>
  <c r="I632" i="5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K595" i="5" s="1"/>
  <c r="J594" i="5"/>
  <c r="I594" i="5"/>
  <c r="K594" i="5" s="1"/>
  <c r="J593" i="5"/>
  <c r="I593" i="5"/>
  <c r="K593" i="5" s="1"/>
  <c r="J592" i="5"/>
  <c r="I592" i="5"/>
  <c r="K592" i="5" s="1"/>
  <c r="J591" i="5"/>
  <c r="I591" i="5"/>
  <c r="K591" i="5" s="1"/>
  <c r="J590" i="5"/>
  <c r="I590" i="5"/>
  <c r="K590" i="5" s="1"/>
  <c r="J589" i="5"/>
  <c r="I589" i="5"/>
  <c r="K589" i="5" s="1"/>
  <c r="N588" i="5"/>
  <c r="N587" i="5"/>
  <c r="N586" i="5"/>
  <c r="N585" i="5"/>
  <c r="N584" i="5"/>
  <c r="L584" i="5"/>
  <c r="O584" i="5" s="1"/>
  <c r="N583" i="5"/>
  <c r="L583" i="5"/>
  <c r="O583" i="5" s="1"/>
  <c r="N582" i="5"/>
  <c r="L582" i="5"/>
  <c r="O582" i="5" s="1"/>
  <c r="N581" i="5"/>
  <c r="L581" i="5"/>
  <c r="O581" i="5" s="1"/>
  <c r="N580" i="5"/>
  <c r="L580" i="5"/>
  <c r="O580" i="5" s="1"/>
  <c r="J580" i="5"/>
  <c r="I580" i="5"/>
  <c r="K580" i="5" s="1"/>
  <c r="J579" i="5"/>
  <c r="I579" i="5"/>
  <c r="K579" i="5" s="1"/>
  <c r="J578" i="5"/>
  <c r="I578" i="5"/>
  <c r="K578" i="5" s="1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O553" i="5" s="1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J498" i="5"/>
  <c r="I498" i="5"/>
  <c r="J497" i="5"/>
  <c r="I497" i="5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J419" i="5"/>
  <c r="I419" i="5"/>
  <c r="J418" i="5"/>
  <c r="I418" i="5"/>
  <c r="J417" i="5"/>
  <c r="I417" i="5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O382" i="5" s="1"/>
  <c r="J381" i="5"/>
  <c r="I381" i="5"/>
  <c r="N380" i="5"/>
  <c r="L380" i="5"/>
  <c r="J380" i="5"/>
  <c r="I380" i="5"/>
  <c r="J379" i="5"/>
  <c r="J378" i="5"/>
  <c r="J377" i="5"/>
  <c r="I377" i="5"/>
  <c r="J376" i="5"/>
  <c r="I376" i="5"/>
  <c r="J375" i="5"/>
  <c r="I375" i="5"/>
  <c r="J374" i="5"/>
  <c r="I374" i="5"/>
  <c r="J373" i="5"/>
  <c r="I373" i="5"/>
  <c r="K373" i="5" s="1"/>
  <c r="J372" i="5"/>
  <c r="I372" i="5"/>
  <c r="J371" i="5"/>
  <c r="I371" i="5"/>
  <c r="K371" i="5" s="1"/>
  <c r="J370" i="5"/>
  <c r="I370" i="5"/>
  <c r="J369" i="5"/>
  <c r="I369" i="5"/>
  <c r="J368" i="5"/>
  <c r="I368" i="5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N353" i="5"/>
  <c r="L353" i="5"/>
  <c r="O353" i="5" s="1"/>
  <c r="N352" i="5"/>
  <c r="L352" i="5"/>
  <c r="N351" i="5"/>
  <c r="L351" i="5"/>
  <c r="O351" i="5" s="1"/>
  <c r="J350" i="5"/>
  <c r="I350" i="5"/>
  <c r="N349" i="5"/>
  <c r="L349" i="5"/>
  <c r="J349" i="5"/>
  <c r="I349" i="5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M337" i="5" s="1"/>
  <c r="L335" i="5"/>
  <c r="L334" i="5"/>
  <c r="N333" i="5"/>
  <c r="M333" i="5"/>
  <c r="O332" i="5"/>
  <c r="P330" i="5"/>
  <c r="N330" i="5"/>
  <c r="M330" i="5"/>
  <c r="L330" i="5"/>
  <c r="O330" i="5" s="1"/>
  <c r="J328" i="5"/>
  <c r="I328" i="5"/>
  <c r="J326" i="5"/>
  <c r="J325" i="5"/>
  <c r="J324" i="5"/>
  <c r="I324" i="5"/>
  <c r="K324" i="5" s="1"/>
  <c r="J323" i="5"/>
  <c r="J322" i="5"/>
  <c r="J321" i="5"/>
  <c r="J320" i="5"/>
  <c r="N318" i="5"/>
  <c r="L318" i="5"/>
  <c r="O318" i="5" s="1"/>
  <c r="L316" i="5"/>
  <c r="L315" i="5"/>
  <c r="N314" i="5"/>
  <c r="M314" i="5"/>
  <c r="M312" i="5" s="1"/>
  <c r="P312" i="5" s="1"/>
  <c r="O313" i="5"/>
  <c r="O311" i="5"/>
  <c r="N311" i="5"/>
  <c r="M311" i="5"/>
  <c r="P311" i="5" s="1"/>
  <c r="L311" i="5"/>
  <c r="J309" i="5"/>
  <c r="I309" i="5"/>
  <c r="K309" i="5" s="1"/>
  <c r="J308" i="5"/>
  <c r="J307" i="5"/>
  <c r="J306" i="5"/>
  <c r="I306" i="5"/>
  <c r="K306" i="5" s="1"/>
  <c r="J304" i="5"/>
  <c r="I304" i="5"/>
  <c r="K304" i="5" s="1"/>
  <c r="J303" i="5"/>
  <c r="J302" i="5"/>
  <c r="J301" i="5"/>
  <c r="J300" i="5"/>
  <c r="N298" i="5"/>
  <c r="L298" i="5"/>
  <c r="O298" i="5" s="1"/>
  <c r="L296" i="5"/>
  <c r="L295" i="5"/>
  <c r="N294" i="5"/>
  <c r="M294" i="5"/>
  <c r="P294" i="5" s="1"/>
  <c r="O293" i="5"/>
  <c r="P291" i="5"/>
  <c r="O291" i="5"/>
  <c r="N291" i="5"/>
  <c r="M291" i="5"/>
  <c r="L291" i="5"/>
  <c r="J289" i="5"/>
  <c r="I289" i="5"/>
  <c r="K289" i="5" s="1"/>
  <c r="J287" i="5"/>
  <c r="J286" i="5"/>
  <c r="J285" i="5"/>
  <c r="I285" i="5"/>
  <c r="K285" i="5" s="1"/>
  <c r="J284" i="5"/>
  <c r="J283" i="5"/>
  <c r="J282" i="5"/>
  <c r="J281" i="5"/>
  <c r="N279" i="5"/>
  <c r="L279" i="5"/>
  <c r="O279" i="5" s="1"/>
  <c r="L277" i="5"/>
  <c r="L276" i="5"/>
  <c r="N275" i="5"/>
  <c r="M275" i="5"/>
  <c r="P275" i="5" s="1"/>
  <c r="O274" i="5"/>
  <c r="N272" i="5"/>
  <c r="M272" i="5"/>
  <c r="P272" i="5" s="1"/>
  <c r="L272" i="5"/>
  <c r="O272" i="5" s="1"/>
  <c r="J270" i="5"/>
  <c r="I270" i="5"/>
  <c r="K270" i="5" s="1"/>
  <c r="J269" i="5"/>
  <c r="J268" i="5"/>
  <c r="J267" i="5"/>
  <c r="I267" i="5"/>
  <c r="J266" i="5"/>
  <c r="I266" i="5"/>
  <c r="J265" i="5"/>
  <c r="I265" i="5"/>
  <c r="J264" i="5"/>
  <c r="I264" i="5"/>
  <c r="J263" i="5"/>
  <c r="J262" i="5"/>
  <c r="J261" i="5"/>
  <c r="J260" i="5"/>
  <c r="N258" i="5"/>
  <c r="L258" i="5"/>
  <c r="O258" i="5" s="1"/>
  <c r="L256" i="5"/>
  <c r="L255" i="5"/>
  <c r="N254" i="5"/>
  <c r="M254" i="5"/>
  <c r="M252" i="5" s="1"/>
  <c r="O253" i="5"/>
  <c r="P251" i="5"/>
  <c r="N251" i="5"/>
  <c r="M251" i="5"/>
  <c r="L251" i="5"/>
  <c r="O251" i="5" s="1"/>
  <c r="J249" i="5"/>
  <c r="I249" i="5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J234" i="5"/>
  <c r="J233" i="5"/>
  <c r="J232" i="5"/>
  <c r="J231" i="5"/>
  <c r="J229" i="5"/>
  <c r="I229" i="5"/>
  <c r="N228" i="5"/>
  <c r="L228" i="5"/>
  <c r="O228" i="5" s="1"/>
  <c r="L226" i="5"/>
  <c r="L225" i="5"/>
  <c r="N224" i="5"/>
  <c r="M224" i="5"/>
  <c r="M222" i="5" s="1"/>
  <c r="O223" i="5"/>
  <c r="N221" i="5"/>
  <c r="M221" i="5"/>
  <c r="P221" i="5" s="1"/>
  <c r="L221" i="5"/>
  <c r="O221" i="5" s="1"/>
  <c r="J219" i="5"/>
  <c r="I219" i="5"/>
  <c r="J218" i="5"/>
  <c r="J217" i="5"/>
  <c r="J216" i="5"/>
  <c r="I216" i="5"/>
  <c r="K216" i="5" s="1"/>
  <c r="J215" i="5"/>
  <c r="I215" i="5"/>
  <c r="K215" i="5" s="1"/>
  <c r="J213" i="5"/>
  <c r="I213" i="5"/>
  <c r="K213" i="5" s="1"/>
  <c r="J212" i="5"/>
  <c r="J211" i="5"/>
  <c r="J210" i="5"/>
  <c r="J209" i="5"/>
  <c r="J204" i="5"/>
  <c r="I204" i="5"/>
  <c r="K204" i="5" s="1"/>
  <c r="J203" i="5"/>
  <c r="J202" i="5"/>
  <c r="J201" i="5"/>
  <c r="I201" i="5"/>
  <c r="K201" i="5" s="1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J185" i="5"/>
  <c r="I185" i="5"/>
  <c r="J184" i="5"/>
  <c r="J183" i="5"/>
  <c r="J182" i="5"/>
  <c r="J181" i="5"/>
  <c r="J176" i="5"/>
  <c r="I176" i="5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M142" i="5" s="1"/>
  <c r="O143" i="5"/>
  <c r="P141" i="5"/>
  <c r="N141" i="5"/>
  <c r="M141" i="5"/>
  <c r="L141" i="5"/>
  <c r="O141" i="5" s="1"/>
  <c r="J138" i="5"/>
  <c r="I138" i="5"/>
  <c r="K138" i="5" s="1"/>
  <c r="J135" i="5"/>
  <c r="J134" i="5"/>
  <c r="J133" i="5"/>
  <c r="I133" i="5"/>
  <c r="K133" i="5" s="1"/>
  <c r="J132" i="5"/>
  <c r="I132" i="5"/>
  <c r="K132" i="5" s="1"/>
  <c r="J131" i="5"/>
  <c r="J130" i="5"/>
  <c r="J129" i="5"/>
  <c r="J128" i="5"/>
  <c r="N126" i="5"/>
  <c r="L126" i="5"/>
  <c r="O126" i="5" s="1"/>
  <c r="L124" i="5"/>
  <c r="L123" i="5"/>
  <c r="N122" i="5"/>
  <c r="M122" i="5"/>
  <c r="P122" i="5" s="1"/>
  <c r="O121" i="5"/>
  <c r="N119" i="5"/>
  <c r="M119" i="5"/>
  <c r="P119" i="5" s="1"/>
  <c r="L119" i="5"/>
  <c r="O119" i="5" s="1"/>
  <c r="J117" i="5"/>
  <c r="I117" i="5"/>
  <c r="K117" i="5" s="1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M102" i="5" s="1"/>
  <c r="L100" i="5"/>
  <c r="L99" i="5"/>
  <c r="N98" i="5"/>
  <c r="M98" i="5"/>
  <c r="O97" i="5"/>
  <c r="P95" i="5"/>
  <c r="N95" i="5"/>
  <c r="M95" i="5"/>
  <c r="L95" i="5"/>
  <c r="O95" i="5" s="1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J84" i="5"/>
  <c r="I84" i="5"/>
  <c r="J83" i="5"/>
  <c r="I83" i="5"/>
  <c r="K83" i="5" s="1"/>
  <c r="J82" i="5"/>
  <c r="I82" i="5"/>
  <c r="K82" i="5" s="1"/>
  <c r="J81" i="5"/>
  <c r="I81" i="5"/>
  <c r="J80" i="5"/>
  <c r="I80" i="5"/>
  <c r="J79" i="5"/>
  <c r="J78" i="5"/>
  <c r="J77" i="5"/>
  <c r="J76" i="5"/>
  <c r="N74" i="5"/>
  <c r="L74" i="5"/>
  <c r="L72" i="5"/>
  <c r="L71" i="5"/>
  <c r="N70" i="5"/>
  <c r="M70" i="5"/>
  <c r="O69" i="5"/>
  <c r="N67" i="5"/>
  <c r="M67" i="5"/>
  <c r="P67" i="5" s="1"/>
  <c r="L67" i="5"/>
  <c r="O67" i="5" s="1"/>
  <c r="J65" i="5"/>
  <c r="I65" i="5"/>
  <c r="J64" i="5"/>
  <c r="I64" i="5"/>
  <c r="N61" i="5"/>
  <c r="L61" i="5"/>
  <c r="O61" i="5" s="1"/>
  <c r="L59" i="5"/>
  <c r="L58" i="5"/>
  <c r="N57" i="5"/>
  <c r="M57" i="5"/>
  <c r="P54" i="5"/>
  <c r="N54" i="5"/>
  <c r="M54" i="5"/>
  <c r="L54" i="5"/>
  <c r="O54" i="5" s="1"/>
  <c r="N49" i="5"/>
  <c r="L49" i="5"/>
  <c r="M49" i="5" s="1"/>
  <c r="L47" i="5"/>
  <c r="L46" i="5"/>
  <c r="N45" i="5"/>
  <c r="M45" i="5"/>
  <c r="P42" i="5"/>
  <c r="O42" i="5"/>
  <c r="N42" i="5"/>
  <c r="M42" i="5"/>
  <c r="L42" i="5"/>
  <c r="P36" i="5"/>
  <c r="O36" i="5"/>
  <c r="P35" i="5"/>
  <c r="O35" i="5"/>
  <c r="M34" i="5"/>
  <c r="P34" i="5" s="1"/>
  <c r="P33" i="5"/>
  <c r="M33" i="5"/>
  <c r="P32" i="5"/>
  <c r="M32" i="5"/>
  <c r="M30" i="5" s="1"/>
  <c r="P30" i="5" s="1"/>
  <c r="M31" i="5"/>
  <c r="M29" i="5" s="1"/>
  <c r="O25" i="5"/>
  <c r="N25" i="5"/>
  <c r="N15" i="5" s="1"/>
  <c r="M25" i="5"/>
  <c r="P25" i="5" s="1"/>
  <c r="L25" i="5"/>
  <c r="P24" i="5"/>
  <c r="N24" i="5"/>
  <c r="M24" i="5"/>
  <c r="P23" i="5"/>
  <c r="N23" i="5"/>
  <c r="M23" i="5"/>
  <c r="O21" i="5"/>
  <c r="N21" i="5"/>
  <c r="N19" i="5" s="1"/>
  <c r="M21" i="5"/>
  <c r="P21" i="5" s="1"/>
  <c r="L21" i="5"/>
  <c r="P19" i="5"/>
  <c r="M19" i="5"/>
  <c r="L19" i="5"/>
  <c r="O19" i="5" s="1"/>
  <c r="O15" i="5"/>
  <c r="L15" i="5"/>
  <c r="P14" i="5"/>
  <c r="M14" i="5"/>
  <c r="M13" i="5"/>
  <c r="P13" i="5" s="1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K625" i="4" s="1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K595" i="4" s="1"/>
  <c r="J594" i="4"/>
  <c r="I594" i="4"/>
  <c r="K594" i="4" s="1"/>
  <c r="J593" i="4"/>
  <c r="I593" i="4"/>
  <c r="K593" i="4" s="1"/>
  <c r="J592" i="4"/>
  <c r="I592" i="4"/>
  <c r="K592" i="4" s="1"/>
  <c r="J591" i="4"/>
  <c r="I591" i="4"/>
  <c r="K591" i="4" s="1"/>
  <c r="J590" i="4"/>
  <c r="I590" i="4"/>
  <c r="K590" i="4" s="1"/>
  <c r="J589" i="4"/>
  <c r="I589" i="4"/>
  <c r="K589" i="4" s="1"/>
  <c r="N588" i="4"/>
  <c r="N587" i="4"/>
  <c r="N586" i="4"/>
  <c r="N585" i="4"/>
  <c r="N584" i="4"/>
  <c r="L584" i="4"/>
  <c r="O584" i="4" s="1"/>
  <c r="N583" i="4"/>
  <c r="L583" i="4"/>
  <c r="O583" i="4" s="1"/>
  <c r="N582" i="4"/>
  <c r="L582" i="4"/>
  <c r="O582" i="4" s="1"/>
  <c r="N581" i="4"/>
  <c r="L581" i="4"/>
  <c r="O581" i="4" s="1"/>
  <c r="N580" i="4"/>
  <c r="L580" i="4"/>
  <c r="O580" i="4" s="1"/>
  <c r="J580" i="4"/>
  <c r="I580" i="4"/>
  <c r="K580" i="4" s="1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N564" i="4"/>
  <c r="L564" i="4"/>
  <c r="J564" i="4"/>
  <c r="I564" i="4"/>
  <c r="J561" i="4"/>
  <c r="I561" i="4"/>
  <c r="K561" i="4" s="1"/>
  <c r="J560" i="4"/>
  <c r="I560" i="4"/>
  <c r="K560" i="4" s="1"/>
  <c r="N559" i="4"/>
  <c r="N558" i="4"/>
  <c r="N557" i="4"/>
  <c r="N556" i="4"/>
  <c r="N555" i="4"/>
  <c r="L555" i="4"/>
  <c r="O555" i="4" s="1"/>
  <c r="N554" i="4"/>
  <c r="L554" i="4"/>
  <c r="O554" i="4" s="1"/>
  <c r="N553" i="4"/>
  <c r="L553" i="4"/>
  <c r="O553" i="4" s="1"/>
  <c r="N552" i="4"/>
  <c r="L552" i="4"/>
  <c r="O552" i="4" s="1"/>
  <c r="N551" i="4"/>
  <c r="L551" i="4"/>
  <c r="O551" i="4" s="1"/>
  <c r="J551" i="4"/>
  <c r="I551" i="4"/>
  <c r="K551" i="4" s="1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K431" i="4" s="1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K420" i="4" s="1"/>
  <c r="J419" i="4"/>
  <c r="I419" i="4"/>
  <c r="K419" i="4" s="1"/>
  <c r="J418" i="4"/>
  <c r="I418" i="4"/>
  <c r="J417" i="4"/>
  <c r="I417" i="4"/>
  <c r="K417" i="4" s="1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O384" i="4" s="1"/>
  <c r="N383" i="4"/>
  <c r="L383" i="4"/>
  <c r="N382" i="4"/>
  <c r="L382" i="4"/>
  <c r="O382" i="4" s="1"/>
  <c r="J381" i="4"/>
  <c r="I381" i="4"/>
  <c r="N380" i="4"/>
  <c r="L380" i="4"/>
  <c r="J380" i="4"/>
  <c r="I380" i="4"/>
  <c r="J379" i="4"/>
  <c r="J378" i="4"/>
  <c r="J377" i="4"/>
  <c r="I377" i="4"/>
  <c r="K377" i="4" s="1"/>
  <c r="J376" i="4"/>
  <c r="I376" i="4"/>
  <c r="K376" i="4" s="1"/>
  <c r="J375" i="4"/>
  <c r="I375" i="4"/>
  <c r="K375" i="4" s="1"/>
  <c r="J374" i="4"/>
  <c r="I374" i="4"/>
  <c r="J373" i="4"/>
  <c r="I373" i="4"/>
  <c r="K373" i="4" s="1"/>
  <c r="J372" i="4"/>
  <c r="I372" i="4"/>
  <c r="K372" i="4" s="1"/>
  <c r="J371" i="4"/>
  <c r="I371" i="4"/>
  <c r="K371" i="4" s="1"/>
  <c r="J370" i="4"/>
  <c r="I370" i="4"/>
  <c r="K370" i="4" s="1"/>
  <c r="J369" i="4"/>
  <c r="I369" i="4"/>
  <c r="K369" i="4" s="1"/>
  <c r="J368" i="4"/>
  <c r="I368" i="4"/>
  <c r="K368" i="4" s="1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N352" i="4"/>
  <c r="L352" i="4"/>
  <c r="N351" i="4"/>
  <c r="L351" i="4"/>
  <c r="O351" i="4" s="1"/>
  <c r="J350" i="4"/>
  <c r="I350" i="4"/>
  <c r="K350" i="4" s="1"/>
  <c r="N349" i="4"/>
  <c r="L349" i="4"/>
  <c r="O349" i="4" s="1"/>
  <c r="J349" i="4"/>
  <c r="I349" i="4"/>
  <c r="K349" i="4" s="1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O337" i="4" s="1"/>
  <c r="L335" i="4"/>
  <c r="L334" i="4"/>
  <c r="N333" i="4"/>
  <c r="M333" i="4"/>
  <c r="M331" i="4" s="1"/>
  <c r="O332" i="4"/>
  <c r="O330" i="4"/>
  <c r="N330" i="4"/>
  <c r="M330" i="4"/>
  <c r="P330" i="4" s="1"/>
  <c r="L330" i="4"/>
  <c r="J328" i="4"/>
  <c r="I328" i="4"/>
  <c r="J326" i="4"/>
  <c r="J325" i="4"/>
  <c r="J324" i="4"/>
  <c r="I324" i="4"/>
  <c r="K324" i="4" s="1"/>
  <c r="J323" i="4"/>
  <c r="J322" i="4"/>
  <c r="J321" i="4"/>
  <c r="J320" i="4"/>
  <c r="N318" i="4"/>
  <c r="L318" i="4"/>
  <c r="O318" i="4" s="1"/>
  <c r="L316" i="4"/>
  <c r="L315" i="4"/>
  <c r="N314" i="4"/>
  <c r="M314" i="4"/>
  <c r="P314" i="4" s="1"/>
  <c r="O313" i="4"/>
  <c r="P311" i="4"/>
  <c r="N311" i="4"/>
  <c r="M311" i="4"/>
  <c r="L311" i="4"/>
  <c r="O311" i="4" s="1"/>
  <c r="J309" i="4"/>
  <c r="I309" i="4"/>
  <c r="K309" i="4" s="1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P294" i="4" s="1"/>
  <c r="O293" i="4"/>
  <c r="N291" i="4"/>
  <c r="M291" i="4"/>
  <c r="P291" i="4" s="1"/>
  <c r="L291" i="4"/>
  <c r="O291" i="4" s="1"/>
  <c r="J289" i="4"/>
  <c r="I289" i="4"/>
  <c r="K289" i="4" s="1"/>
  <c r="J287" i="4"/>
  <c r="J286" i="4"/>
  <c r="J285" i="4"/>
  <c r="I285" i="4"/>
  <c r="J284" i="4"/>
  <c r="J283" i="4"/>
  <c r="J282" i="4"/>
  <c r="J281" i="4"/>
  <c r="N279" i="4"/>
  <c r="L279" i="4"/>
  <c r="O279" i="4" s="1"/>
  <c r="L277" i="4"/>
  <c r="L276" i="4"/>
  <c r="N275" i="4"/>
  <c r="M275" i="4"/>
  <c r="M273" i="4" s="1"/>
  <c r="O274" i="4"/>
  <c r="P272" i="4"/>
  <c r="O272" i="4"/>
  <c r="N272" i="4"/>
  <c r="M272" i="4"/>
  <c r="L272" i="4"/>
  <c r="J270" i="4"/>
  <c r="I270" i="4"/>
  <c r="J269" i="4"/>
  <c r="J268" i="4"/>
  <c r="J267" i="4"/>
  <c r="I267" i="4"/>
  <c r="K267" i="4" s="1"/>
  <c r="J266" i="4"/>
  <c r="I266" i="4"/>
  <c r="K266" i="4" s="1"/>
  <c r="J265" i="4"/>
  <c r="I265" i="4"/>
  <c r="K265" i="4" s="1"/>
  <c r="J264" i="4"/>
  <c r="I264" i="4"/>
  <c r="K264" i="4" s="1"/>
  <c r="J263" i="4"/>
  <c r="J262" i="4"/>
  <c r="J261" i="4"/>
  <c r="J260" i="4"/>
  <c r="N258" i="4"/>
  <c r="L258" i="4"/>
  <c r="O258" i="4" s="1"/>
  <c r="L256" i="4"/>
  <c r="L255" i="4"/>
  <c r="N254" i="4"/>
  <c r="M254" i="4"/>
  <c r="M252" i="4" s="1"/>
  <c r="P252" i="4" s="1"/>
  <c r="O253" i="4"/>
  <c r="O251" i="4"/>
  <c r="N251" i="4"/>
  <c r="M251" i="4"/>
  <c r="P251" i="4" s="1"/>
  <c r="L251" i="4"/>
  <c r="J249" i="4"/>
  <c r="I249" i="4"/>
  <c r="K249" i="4" s="1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O223" i="4"/>
  <c r="P221" i="4"/>
  <c r="O221" i="4"/>
  <c r="N221" i="4"/>
  <c r="M221" i="4"/>
  <c r="L221" i="4"/>
  <c r="J219" i="4"/>
  <c r="I219" i="4"/>
  <c r="J218" i="4"/>
  <c r="J217" i="4"/>
  <c r="J216" i="4"/>
  <c r="I216" i="4"/>
  <c r="K216" i="4" s="1"/>
  <c r="J215" i="4"/>
  <c r="I215" i="4"/>
  <c r="K215" i="4" s="1"/>
  <c r="J213" i="4"/>
  <c r="I213" i="4"/>
  <c r="K213" i="4" s="1"/>
  <c r="J212" i="4"/>
  <c r="J211" i="4"/>
  <c r="J210" i="4"/>
  <c r="J209" i="4"/>
  <c r="J204" i="4"/>
  <c r="I204" i="4"/>
  <c r="K204" i="4" s="1"/>
  <c r="J203" i="4"/>
  <c r="J202" i="4"/>
  <c r="J201" i="4"/>
  <c r="I201" i="4"/>
  <c r="K201" i="4" s="1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K186" i="4" s="1"/>
  <c r="J185" i="4"/>
  <c r="I185" i="4"/>
  <c r="K185" i="4" s="1"/>
  <c r="J184" i="4"/>
  <c r="J183" i="4"/>
  <c r="J182" i="4"/>
  <c r="J181" i="4"/>
  <c r="J176" i="4"/>
  <c r="I176" i="4"/>
  <c r="K176" i="4" s="1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M142" i="4" s="1"/>
  <c r="O143" i="4"/>
  <c r="O141" i="4"/>
  <c r="N141" i="4"/>
  <c r="M141" i="4"/>
  <c r="P141" i="4" s="1"/>
  <c r="L141" i="4"/>
  <c r="J138" i="4"/>
  <c r="I138" i="4"/>
  <c r="K138" i="4" s="1"/>
  <c r="J135" i="4"/>
  <c r="J134" i="4"/>
  <c r="J133" i="4"/>
  <c r="I133" i="4"/>
  <c r="J132" i="4"/>
  <c r="I132" i="4"/>
  <c r="J131" i="4"/>
  <c r="J130" i="4"/>
  <c r="J129" i="4"/>
  <c r="J128" i="4"/>
  <c r="N126" i="4"/>
  <c r="L126" i="4"/>
  <c r="O126" i="4" s="1"/>
  <c r="L124" i="4"/>
  <c r="L123" i="4"/>
  <c r="N122" i="4"/>
  <c r="M122" i="4"/>
  <c r="M120" i="4" s="1"/>
  <c r="O121" i="4"/>
  <c r="P119" i="4"/>
  <c r="N119" i="4"/>
  <c r="M119" i="4"/>
  <c r="L119" i="4"/>
  <c r="O119" i="4" s="1"/>
  <c r="J117" i="4"/>
  <c r="I117" i="4"/>
  <c r="J115" i="4"/>
  <c r="J114" i="4"/>
  <c r="J113" i="4"/>
  <c r="I113" i="4"/>
  <c r="K113" i="4" s="1"/>
  <c r="J112" i="4"/>
  <c r="I112" i="4"/>
  <c r="K112" i="4" s="1"/>
  <c r="J111" i="4"/>
  <c r="I111" i="4"/>
  <c r="K111" i="4" s="1"/>
  <c r="J110" i="4"/>
  <c r="I110" i="4"/>
  <c r="K110" i="4" s="1"/>
  <c r="J109" i="4"/>
  <c r="I109" i="4"/>
  <c r="K109" i="4" s="1"/>
  <c r="J108" i="4"/>
  <c r="I108" i="4"/>
  <c r="K108" i="4" s="1"/>
  <c r="J107" i="4"/>
  <c r="J106" i="4"/>
  <c r="J105" i="4"/>
  <c r="J104" i="4"/>
  <c r="N102" i="4"/>
  <c r="L102" i="4"/>
  <c r="O102" i="4" s="1"/>
  <c r="L100" i="4"/>
  <c r="L99" i="4"/>
  <c r="N98" i="4"/>
  <c r="M98" i="4"/>
  <c r="M96" i="4" s="1"/>
  <c r="P96" i="4" s="1"/>
  <c r="O97" i="4"/>
  <c r="N95" i="4"/>
  <c r="M95" i="4"/>
  <c r="P95" i="4" s="1"/>
  <c r="L95" i="4"/>
  <c r="O95" i="4" s="1"/>
  <c r="J93" i="4"/>
  <c r="I93" i="4"/>
  <c r="K93" i="4" s="1"/>
  <c r="J92" i="4"/>
  <c r="I92" i="4"/>
  <c r="K92" i="4" s="1"/>
  <c r="J90" i="4"/>
  <c r="J89" i="4"/>
  <c r="J88" i="4"/>
  <c r="I88" i="4"/>
  <c r="K88" i="4" s="1"/>
  <c r="J87" i="4"/>
  <c r="I87" i="4"/>
  <c r="K87" i="4" s="1"/>
  <c r="J86" i="4"/>
  <c r="I86" i="4"/>
  <c r="K86" i="4" s="1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K81" i="4" s="1"/>
  <c r="J80" i="4"/>
  <c r="I80" i="4"/>
  <c r="K80" i="4" s="1"/>
  <c r="J79" i="4"/>
  <c r="J78" i="4"/>
  <c r="J77" i="4"/>
  <c r="J76" i="4"/>
  <c r="N74" i="4"/>
  <c r="L74" i="4"/>
  <c r="O74" i="4" s="1"/>
  <c r="L72" i="4"/>
  <c r="L71" i="4"/>
  <c r="N70" i="4"/>
  <c r="M70" i="4"/>
  <c r="P70" i="4" s="1"/>
  <c r="O69" i="4"/>
  <c r="N67" i="4"/>
  <c r="M67" i="4"/>
  <c r="P67" i="4" s="1"/>
  <c r="L67" i="4"/>
  <c r="O67" i="4" s="1"/>
  <c r="J65" i="4"/>
  <c r="I65" i="4"/>
  <c r="K65" i="4" s="1"/>
  <c r="J64" i="4"/>
  <c r="I64" i="4"/>
  <c r="K64" i="4" s="1"/>
  <c r="N61" i="4"/>
  <c r="L61" i="4"/>
  <c r="O61" i="4" s="1"/>
  <c r="L59" i="4"/>
  <c r="L58" i="4"/>
  <c r="N57" i="4"/>
  <c r="M57" i="4"/>
  <c r="P54" i="4"/>
  <c r="N54" i="4"/>
  <c r="M54" i="4"/>
  <c r="L54" i="4"/>
  <c r="O54" i="4" s="1"/>
  <c r="N49" i="4"/>
  <c r="L49" i="4"/>
  <c r="M49" i="4" s="1"/>
  <c r="L47" i="4"/>
  <c r="L46" i="4"/>
  <c r="N45" i="4"/>
  <c r="M45" i="4"/>
  <c r="P42" i="4"/>
  <c r="N42" i="4"/>
  <c r="M42" i="4"/>
  <c r="L42" i="4"/>
  <c r="O42" i="4" s="1"/>
  <c r="P36" i="4"/>
  <c r="O36" i="4"/>
  <c r="P35" i="4"/>
  <c r="O35" i="4"/>
  <c r="M34" i="4"/>
  <c r="P34" i="4" s="1"/>
  <c r="P33" i="4"/>
  <c r="M33" i="4"/>
  <c r="P32" i="4"/>
  <c r="M32" i="4"/>
  <c r="M30" i="4" s="1"/>
  <c r="P30" i="4" s="1"/>
  <c r="M31" i="4"/>
  <c r="M29" i="4" s="1"/>
  <c r="O25" i="4"/>
  <c r="N25" i="4"/>
  <c r="N15" i="4" s="1"/>
  <c r="M25" i="4"/>
  <c r="P25" i="4" s="1"/>
  <c r="L25" i="4"/>
  <c r="P24" i="4"/>
  <c r="N24" i="4"/>
  <c r="M24" i="4"/>
  <c r="P23" i="4"/>
  <c r="N23" i="4"/>
  <c r="M23" i="4"/>
  <c r="O21" i="4"/>
  <c r="N21" i="4"/>
  <c r="N19" i="4" s="1"/>
  <c r="M21" i="4"/>
  <c r="P21" i="4" s="1"/>
  <c r="L21" i="4"/>
  <c r="M19" i="4"/>
  <c r="P19" i="4" s="1"/>
  <c r="L19" i="4"/>
  <c r="O19" i="4" s="1"/>
  <c r="P15" i="4"/>
  <c r="M15" i="4"/>
  <c r="L15" i="4"/>
  <c r="O15" i="4" s="1"/>
  <c r="P14" i="4"/>
  <c r="M14" i="4"/>
  <c r="M13" i="4"/>
  <c r="P13" i="4" s="1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K625" i="3" s="1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O598" i="3" s="1"/>
  <c r="N597" i="3"/>
  <c r="L597" i="3"/>
  <c r="J597" i="3"/>
  <c r="I597" i="3"/>
  <c r="J596" i="3"/>
  <c r="I596" i="3"/>
  <c r="K596" i="3" s="1"/>
  <c r="J595" i="3"/>
  <c r="I595" i="3"/>
  <c r="J594" i="3"/>
  <c r="I594" i="3"/>
  <c r="K594" i="3" s="1"/>
  <c r="J593" i="3"/>
  <c r="I593" i="3"/>
  <c r="J592" i="3"/>
  <c r="I592" i="3"/>
  <c r="K592" i="3" s="1"/>
  <c r="J591" i="3"/>
  <c r="I591" i="3"/>
  <c r="J590" i="3"/>
  <c r="I590" i="3"/>
  <c r="K590" i="3" s="1"/>
  <c r="J589" i="3"/>
  <c r="I589" i="3"/>
  <c r="N588" i="3"/>
  <c r="N587" i="3"/>
  <c r="N586" i="3"/>
  <c r="N585" i="3"/>
  <c r="N584" i="3"/>
  <c r="L584" i="3"/>
  <c r="N583" i="3"/>
  <c r="L583" i="3"/>
  <c r="N582" i="3"/>
  <c r="L582" i="3"/>
  <c r="N581" i="3"/>
  <c r="L581" i="3"/>
  <c r="O581" i="3" s="1"/>
  <c r="N580" i="3"/>
  <c r="L580" i="3"/>
  <c r="J580" i="3"/>
  <c r="I580" i="3"/>
  <c r="J579" i="3"/>
  <c r="I579" i="3"/>
  <c r="K579" i="3" s="1"/>
  <c r="J578" i="3"/>
  <c r="I578" i="3"/>
  <c r="J577" i="3"/>
  <c r="I577" i="3"/>
  <c r="J576" i="3"/>
  <c r="I576" i="3"/>
  <c r="K576" i="3" s="1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N566" i="3"/>
  <c r="L566" i="3"/>
  <c r="N565" i="3"/>
  <c r="L565" i="3"/>
  <c r="O565" i="3" s="1"/>
  <c r="N564" i="3"/>
  <c r="L564" i="3"/>
  <c r="J564" i="3"/>
  <c r="I564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N553" i="3"/>
  <c r="L553" i="3"/>
  <c r="O553" i="3" s="1"/>
  <c r="N552" i="3"/>
  <c r="L552" i="3"/>
  <c r="O552" i="3" s="1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O534" i="3" s="1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K513" i="3" s="1"/>
  <c r="J512" i="3"/>
  <c r="I512" i="3"/>
  <c r="K512" i="3" s="1"/>
  <c r="J511" i="3"/>
  <c r="I511" i="3"/>
  <c r="K511" i="3" s="1"/>
  <c r="J510" i="3"/>
  <c r="I510" i="3"/>
  <c r="K510" i="3" s="1"/>
  <c r="J509" i="3"/>
  <c r="I509" i="3"/>
  <c r="J508" i="3"/>
  <c r="I508" i="3"/>
  <c r="K508" i="3" s="1"/>
  <c r="J507" i="3"/>
  <c r="I507" i="3"/>
  <c r="K507" i="3" s="1"/>
  <c r="J506" i="3"/>
  <c r="I506" i="3"/>
  <c r="K506" i="3" s="1"/>
  <c r="J505" i="3"/>
  <c r="I505" i="3"/>
  <c r="K505" i="3" s="1"/>
  <c r="J504" i="3"/>
  <c r="I504" i="3"/>
  <c r="K504" i="3" s="1"/>
  <c r="J503" i="3"/>
  <c r="I503" i="3"/>
  <c r="K503" i="3" s="1"/>
  <c r="J502" i="3"/>
  <c r="I502" i="3"/>
  <c r="K502" i="3" s="1"/>
  <c r="J501" i="3"/>
  <c r="I501" i="3"/>
  <c r="J500" i="3"/>
  <c r="I500" i="3"/>
  <c r="K500" i="3" s="1"/>
  <c r="J499" i="3"/>
  <c r="I499" i="3"/>
  <c r="J498" i="3"/>
  <c r="I498" i="3"/>
  <c r="J497" i="3"/>
  <c r="I497" i="3"/>
  <c r="J496" i="3"/>
  <c r="I496" i="3"/>
  <c r="K496" i="3" s="1"/>
  <c r="J495" i="3"/>
  <c r="I495" i="3"/>
  <c r="K495" i="3" s="1"/>
  <c r="J494" i="3"/>
  <c r="I494" i="3"/>
  <c r="K494" i="3" s="1"/>
  <c r="J493" i="3"/>
  <c r="I493" i="3"/>
  <c r="J492" i="3"/>
  <c r="I492" i="3"/>
  <c r="K492" i="3" s="1"/>
  <c r="J491" i="3"/>
  <c r="I491" i="3"/>
  <c r="K491" i="3" s="1"/>
  <c r="J490" i="3"/>
  <c r="I490" i="3"/>
  <c r="K490" i="3" s="1"/>
  <c r="J489" i="3"/>
  <c r="I489" i="3"/>
  <c r="K489" i="3" s="1"/>
  <c r="J488" i="3"/>
  <c r="I488" i="3"/>
  <c r="K488" i="3" s="1"/>
  <c r="J487" i="3"/>
  <c r="I487" i="3"/>
  <c r="K487" i="3" s="1"/>
  <c r="J486" i="3"/>
  <c r="I486" i="3"/>
  <c r="K486" i="3" s="1"/>
  <c r="J485" i="3"/>
  <c r="I485" i="3"/>
  <c r="K485" i="3" s="1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K477" i="3" s="1"/>
  <c r="J476" i="3"/>
  <c r="I476" i="3"/>
  <c r="K476" i="3" s="1"/>
  <c r="J475" i="3"/>
  <c r="I475" i="3"/>
  <c r="K475" i="3" s="1"/>
  <c r="J474" i="3"/>
  <c r="I474" i="3"/>
  <c r="J473" i="3"/>
  <c r="I473" i="3"/>
  <c r="J472" i="3"/>
  <c r="I472" i="3"/>
  <c r="K472" i="3" s="1"/>
  <c r="J471" i="3"/>
  <c r="I471" i="3"/>
  <c r="K471" i="3" s="1"/>
  <c r="J470" i="3"/>
  <c r="I470" i="3"/>
  <c r="K470" i="3" s="1"/>
  <c r="J469" i="3"/>
  <c r="I469" i="3"/>
  <c r="K469" i="3" s="1"/>
  <c r="J468" i="3"/>
  <c r="I468" i="3"/>
  <c r="K468" i="3" s="1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N455" i="3"/>
  <c r="L455" i="3"/>
  <c r="J455" i="3"/>
  <c r="I455" i="3"/>
  <c r="J454" i="3"/>
  <c r="J453" i="3"/>
  <c r="J452" i="3"/>
  <c r="I452" i="3"/>
  <c r="K452" i="3" s="1"/>
  <c r="J451" i="3"/>
  <c r="I451" i="3"/>
  <c r="K451" i="3" s="1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O438" i="3" s="1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O384" i="3" s="1"/>
  <c r="N383" i="3"/>
  <c r="L383" i="3"/>
  <c r="N382" i="3"/>
  <c r="L382" i="3"/>
  <c r="O382" i="3" s="1"/>
  <c r="J381" i="3"/>
  <c r="I381" i="3"/>
  <c r="N380" i="3"/>
  <c r="L380" i="3"/>
  <c r="J380" i="3"/>
  <c r="I380" i="3"/>
  <c r="J379" i="3"/>
  <c r="J378" i="3"/>
  <c r="J377" i="3"/>
  <c r="I377" i="3"/>
  <c r="J376" i="3"/>
  <c r="I376" i="3"/>
  <c r="J375" i="3"/>
  <c r="I375" i="3"/>
  <c r="J374" i="3"/>
  <c r="I374" i="3"/>
  <c r="J373" i="3"/>
  <c r="I373" i="3"/>
  <c r="K373" i="3" s="1"/>
  <c r="J372" i="3"/>
  <c r="I372" i="3"/>
  <c r="J371" i="3"/>
  <c r="I371" i="3"/>
  <c r="K371" i="3" s="1"/>
  <c r="J370" i="3"/>
  <c r="I370" i="3"/>
  <c r="J369" i="3"/>
  <c r="I369" i="3"/>
  <c r="J368" i="3"/>
  <c r="I368" i="3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N353" i="3"/>
  <c r="L353" i="3"/>
  <c r="O353" i="3" s="1"/>
  <c r="N352" i="3"/>
  <c r="L352" i="3"/>
  <c r="N351" i="3"/>
  <c r="L351" i="3"/>
  <c r="O351" i="3" s="1"/>
  <c r="J350" i="3"/>
  <c r="I350" i="3"/>
  <c r="N349" i="3"/>
  <c r="L349" i="3"/>
  <c r="J349" i="3"/>
  <c r="I349" i="3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M337" i="3" s="1"/>
  <c r="L335" i="3"/>
  <c r="L334" i="3"/>
  <c r="N333" i="3"/>
  <c r="M333" i="3"/>
  <c r="O332" i="3"/>
  <c r="P330" i="3"/>
  <c r="N330" i="3"/>
  <c r="M330" i="3"/>
  <c r="L330" i="3"/>
  <c r="O330" i="3" s="1"/>
  <c r="J328" i="3"/>
  <c r="I328" i="3"/>
  <c r="J326" i="3"/>
  <c r="J325" i="3"/>
  <c r="J324" i="3"/>
  <c r="I324" i="3"/>
  <c r="J323" i="3"/>
  <c r="J322" i="3"/>
  <c r="J321" i="3"/>
  <c r="J320" i="3"/>
  <c r="N318" i="3"/>
  <c r="L318" i="3"/>
  <c r="O318" i="3" s="1"/>
  <c r="L316" i="3"/>
  <c r="L315" i="3"/>
  <c r="N314" i="3"/>
  <c r="M314" i="3"/>
  <c r="M312" i="3" s="1"/>
  <c r="P312" i="3" s="1"/>
  <c r="O313" i="3"/>
  <c r="O311" i="3"/>
  <c r="N311" i="3"/>
  <c r="M311" i="3"/>
  <c r="P311" i="3" s="1"/>
  <c r="L311" i="3"/>
  <c r="J309" i="3"/>
  <c r="I309" i="3"/>
  <c r="K309" i="3" s="1"/>
  <c r="J308" i="3"/>
  <c r="J307" i="3"/>
  <c r="J306" i="3"/>
  <c r="I306" i="3"/>
  <c r="K306" i="3" s="1"/>
  <c r="J304" i="3"/>
  <c r="I304" i="3"/>
  <c r="K304" i="3" s="1"/>
  <c r="J303" i="3"/>
  <c r="J302" i="3"/>
  <c r="J301" i="3"/>
  <c r="J300" i="3"/>
  <c r="N298" i="3"/>
  <c r="L298" i="3"/>
  <c r="O298" i="3" s="1"/>
  <c r="L296" i="3"/>
  <c r="L295" i="3"/>
  <c r="N294" i="3"/>
  <c r="M294" i="3"/>
  <c r="O293" i="3"/>
  <c r="P291" i="3"/>
  <c r="O291" i="3"/>
  <c r="N291" i="3"/>
  <c r="M291" i="3"/>
  <c r="L291" i="3"/>
  <c r="J289" i="3"/>
  <c r="I289" i="3"/>
  <c r="K289" i="3" s="1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M273" i="3" s="1"/>
  <c r="O274" i="3"/>
  <c r="N272" i="3"/>
  <c r="M272" i="3"/>
  <c r="P272" i="3" s="1"/>
  <c r="L272" i="3"/>
  <c r="O272" i="3" s="1"/>
  <c r="J270" i="3"/>
  <c r="I270" i="3"/>
  <c r="J269" i="3"/>
  <c r="J268" i="3"/>
  <c r="J267" i="3"/>
  <c r="I267" i="3"/>
  <c r="K267" i="3" s="1"/>
  <c r="J266" i="3"/>
  <c r="I266" i="3"/>
  <c r="K266" i="3" s="1"/>
  <c r="J265" i="3"/>
  <c r="I265" i="3"/>
  <c r="K265" i="3" s="1"/>
  <c r="J264" i="3"/>
  <c r="I264" i="3"/>
  <c r="J263" i="3"/>
  <c r="J262" i="3"/>
  <c r="J261" i="3"/>
  <c r="J260" i="3"/>
  <c r="N258" i="3"/>
  <c r="L258" i="3"/>
  <c r="O258" i="3" s="1"/>
  <c r="L256" i="3"/>
  <c r="L255" i="3"/>
  <c r="N254" i="3"/>
  <c r="M254" i="3"/>
  <c r="M252" i="3" s="1"/>
  <c r="P252" i="3" s="1"/>
  <c r="O253" i="3"/>
  <c r="O251" i="3"/>
  <c r="N251" i="3"/>
  <c r="M251" i="3"/>
  <c r="L251" i="3"/>
  <c r="J249" i="3"/>
  <c r="I249" i="3"/>
  <c r="K249" i="3" s="1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J234" i="3"/>
  <c r="J233" i="3"/>
  <c r="J232" i="3"/>
  <c r="J231" i="3"/>
  <c r="J229" i="3"/>
  <c r="I229" i="3"/>
  <c r="N228" i="3"/>
  <c r="L228" i="3"/>
  <c r="O228" i="3" s="1"/>
  <c r="L226" i="3"/>
  <c r="L225" i="3"/>
  <c r="N224" i="3"/>
  <c r="M224" i="3"/>
  <c r="O223" i="3"/>
  <c r="P221" i="3"/>
  <c r="O221" i="3"/>
  <c r="N221" i="3"/>
  <c r="M221" i="3"/>
  <c r="L221" i="3"/>
  <c r="J219" i="3"/>
  <c r="I219" i="3"/>
  <c r="J218" i="3"/>
  <c r="J217" i="3"/>
  <c r="J216" i="3"/>
  <c r="I216" i="3"/>
  <c r="K216" i="3" s="1"/>
  <c r="J215" i="3"/>
  <c r="I215" i="3"/>
  <c r="J213" i="3"/>
  <c r="I213" i="3"/>
  <c r="K213" i="3" s="1"/>
  <c r="J212" i="3"/>
  <c r="J211" i="3"/>
  <c r="J210" i="3"/>
  <c r="J209" i="3"/>
  <c r="J204" i="3"/>
  <c r="I204" i="3"/>
  <c r="J203" i="3"/>
  <c r="J202" i="3"/>
  <c r="J201" i="3"/>
  <c r="I201" i="3"/>
  <c r="K201" i="3" s="1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K186" i="3" s="1"/>
  <c r="J185" i="3"/>
  <c r="I185" i="3"/>
  <c r="K185" i="3" s="1"/>
  <c r="J184" i="3"/>
  <c r="J183" i="3"/>
  <c r="J182" i="3"/>
  <c r="J181" i="3"/>
  <c r="J176" i="3"/>
  <c r="I176" i="3"/>
  <c r="K176" i="3" s="1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M142" i="3" s="1"/>
  <c r="O143" i="3"/>
  <c r="O141" i="3"/>
  <c r="N141" i="3"/>
  <c r="M141" i="3"/>
  <c r="L141" i="3"/>
  <c r="J138" i="3"/>
  <c r="I138" i="3"/>
  <c r="K138" i="3" s="1"/>
  <c r="J135" i="3"/>
  <c r="J134" i="3"/>
  <c r="J133" i="3"/>
  <c r="I133" i="3"/>
  <c r="J132" i="3"/>
  <c r="I132" i="3"/>
  <c r="K132" i="3" s="1"/>
  <c r="J131" i="3"/>
  <c r="J130" i="3"/>
  <c r="J129" i="3"/>
  <c r="J128" i="3"/>
  <c r="N126" i="3"/>
  <c r="L126" i="3"/>
  <c r="L124" i="3"/>
  <c r="L123" i="3"/>
  <c r="N122" i="3"/>
  <c r="M122" i="3"/>
  <c r="P122" i="3" s="1"/>
  <c r="O121" i="3"/>
  <c r="P119" i="3"/>
  <c r="O119" i="3"/>
  <c r="N119" i="3"/>
  <c r="M119" i="3"/>
  <c r="L119" i="3"/>
  <c r="J117" i="3"/>
  <c r="I117" i="3"/>
  <c r="K117" i="3" s="1"/>
  <c r="J115" i="3"/>
  <c r="J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J106" i="3"/>
  <c r="J105" i="3"/>
  <c r="J104" i="3"/>
  <c r="N102" i="3"/>
  <c r="L102" i="3"/>
  <c r="L100" i="3"/>
  <c r="L99" i="3"/>
  <c r="N98" i="3"/>
  <c r="M98" i="3"/>
  <c r="O97" i="3"/>
  <c r="O95" i="3"/>
  <c r="N95" i="3"/>
  <c r="M95" i="3"/>
  <c r="L95" i="3"/>
  <c r="J93" i="3"/>
  <c r="I93" i="3"/>
  <c r="J92" i="3"/>
  <c r="I92" i="3"/>
  <c r="J90" i="3"/>
  <c r="J89" i="3"/>
  <c r="J88" i="3"/>
  <c r="I88" i="3"/>
  <c r="J87" i="3"/>
  <c r="I87" i="3"/>
  <c r="K87" i="3" s="1"/>
  <c r="J86" i="3"/>
  <c r="I86" i="3"/>
  <c r="K86" i="3" s="1"/>
  <c r="J85" i="3"/>
  <c r="I85" i="3"/>
  <c r="K85" i="3" s="1"/>
  <c r="J84" i="3"/>
  <c r="I84" i="3"/>
  <c r="J83" i="3"/>
  <c r="I83" i="3"/>
  <c r="J82" i="3"/>
  <c r="I82" i="3"/>
  <c r="J81" i="3"/>
  <c r="I81" i="3"/>
  <c r="J80" i="3"/>
  <c r="I80" i="3"/>
  <c r="J79" i="3"/>
  <c r="J78" i="3"/>
  <c r="J77" i="3"/>
  <c r="J76" i="3"/>
  <c r="N74" i="3"/>
  <c r="L74" i="3"/>
  <c r="M74" i="3" s="1"/>
  <c r="L72" i="3"/>
  <c r="L71" i="3"/>
  <c r="N70" i="3"/>
  <c r="M70" i="3"/>
  <c r="O69" i="3"/>
  <c r="P67" i="3"/>
  <c r="N67" i="3"/>
  <c r="M67" i="3"/>
  <c r="L67" i="3"/>
  <c r="O67" i="3" s="1"/>
  <c r="J65" i="3"/>
  <c r="I65" i="3"/>
  <c r="J64" i="3"/>
  <c r="I64" i="3"/>
  <c r="N61" i="3"/>
  <c r="L61" i="3"/>
  <c r="O61" i="3" s="1"/>
  <c r="L59" i="3"/>
  <c r="L58" i="3"/>
  <c r="N57" i="3"/>
  <c r="M57" i="3"/>
  <c r="P54" i="3"/>
  <c r="O54" i="3"/>
  <c r="N54" i="3"/>
  <c r="M54" i="3"/>
  <c r="L54" i="3"/>
  <c r="N49" i="3"/>
  <c r="L49" i="3"/>
  <c r="O49" i="3" s="1"/>
  <c r="L47" i="3"/>
  <c r="L46" i="3"/>
  <c r="N45" i="3"/>
  <c r="M45" i="3"/>
  <c r="M43" i="3" s="1"/>
  <c r="M41" i="3" s="1"/>
  <c r="P42" i="3"/>
  <c r="N42" i="3"/>
  <c r="M42" i="3"/>
  <c r="L42" i="3"/>
  <c r="O42" i="3" s="1"/>
  <c r="P36" i="3"/>
  <c r="O36" i="3"/>
  <c r="P35" i="3"/>
  <c r="O35" i="3"/>
  <c r="P34" i="3"/>
  <c r="M34" i="3"/>
  <c r="P33" i="3"/>
  <c r="M33" i="3"/>
  <c r="M32" i="3"/>
  <c r="P31" i="3"/>
  <c r="M31" i="3"/>
  <c r="M29" i="3"/>
  <c r="P29" i="3" s="1"/>
  <c r="P25" i="3"/>
  <c r="N25" i="3"/>
  <c r="M25" i="3"/>
  <c r="L25" i="3"/>
  <c r="O25" i="3" s="1"/>
  <c r="P24" i="3"/>
  <c r="N24" i="3"/>
  <c r="M24" i="3"/>
  <c r="N23" i="3"/>
  <c r="M23" i="3"/>
  <c r="P21" i="3"/>
  <c r="O21" i="3"/>
  <c r="N21" i="3"/>
  <c r="M21" i="3"/>
  <c r="L21" i="3"/>
  <c r="L19" i="3" s="1"/>
  <c r="N19" i="3"/>
  <c r="M19" i="3"/>
  <c r="P19" i="3" s="1"/>
  <c r="P15" i="3"/>
  <c r="N15" i="3"/>
  <c r="M15" i="3"/>
  <c r="M14" i="3"/>
  <c r="P14" i="3" s="1"/>
  <c r="M11" i="3"/>
  <c r="M9" i="3" s="1"/>
  <c r="J635" i="2"/>
  <c r="I635" i="2"/>
  <c r="J634" i="2"/>
  <c r="I634" i="2"/>
  <c r="J633" i="2"/>
  <c r="I633" i="2"/>
  <c r="J632" i="2"/>
  <c r="I632" i="2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K623" i="2" s="1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N599" i="2"/>
  <c r="L599" i="2"/>
  <c r="N598" i="2"/>
  <c r="L598" i="2"/>
  <c r="N597" i="2"/>
  <c r="L597" i="2"/>
  <c r="J597" i="2"/>
  <c r="I597" i="2"/>
  <c r="J596" i="2"/>
  <c r="I596" i="2"/>
  <c r="J595" i="2"/>
  <c r="I595" i="2"/>
  <c r="J594" i="2"/>
  <c r="I594" i="2"/>
  <c r="J593" i="2"/>
  <c r="I593" i="2"/>
  <c r="J592" i="2"/>
  <c r="I592" i="2"/>
  <c r="K592" i="2" s="1"/>
  <c r="J591" i="2"/>
  <c r="I591" i="2"/>
  <c r="J590" i="2"/>
  <c r="I590" i="2"/>
  <c r="K590" i="2" s="1"/>
  <c r="J589" i="2"/>
  <c r="I589" i="2"/>
  <c r="N588" i="2"/>
  <c r="N587" i="2"/>
  <c r="N586" i="2"/>
  <c r="N585" i="2"/>
  <c r="N584" i="2"/>
  <c r="L584" i="2"/>
  <c r="N583" i="2"/>
  <c r="L583" i="2"/>
  <c r="O583" i="2" s="1"/>
  <c r="N582" i="2"/>
  <c r="L582" i="2"/>
  <c r="N581" i="2"/>
  <c r="L581" i="2"/>
  <c r="O581" i="2" s="1"/>
  <c r="N580" i="2"/>
  <c r="L580" i="2"/>
  <c r="J580" i="2"/>
  <c r="I580" i="2"/>
  <c r="J579" i="2"/>
  <c r="I579" i="2"/>
  <c r="K579" i="2" s="1"/>
  <c r="J578" i="2"/>
  <c r="I578" i="2"/>
  <c r="K578" i="2" s="1"/>
  <c r="J577" i="2"/>
  <c r="I577" i="2"/>
  <c r="K577" i="2" s="1"/>
  <c r="J576" i="2"/>
  <c r="I576" i="2"/>
  <c r="J575" i="2"/>
  <c r="I575" i="2"/>
  <c r="J573" i="2"/>
  <c r="I573" i="2"/>
  <c r="N572" i="2"/>
  <c r="N571" i="2"/>
  <c r="N570" i="2"/>
  <c r="N569" i="2"/>
  <c r="N568" i="2"/>
  <c r="L568" i="2"/>
  <c r="N567" i="2"/>
  <c r="L567" i="2"/>
  <c r="O567" i="2" s="1"/>
  <c r="N566" i="2"/>
  <c r="L566" i="2"/>
  <c r="N565" i="2"/>
  <c r="L565" i="2"/>
  <c r="O565" i="2" s="1"/>
  <c r="N564" i="2"/>
  <c r="L564" i="2"/>
  <c r="J564" i="2"/>
  <c r="I564" i="2"/>
  <c r="J561" i="2"/>
  <c r="I561" i="2"/>
  <c r="K561" i="2" s="1"/>
  <c r="J560" i="2"/>
  <c r="I560" i="2"/>
  <c r="K560" i="2" s="1"/>
  <c r="N559" i="2"/>
  <c r="N558" i="2"/>
  <c r="N557" i="2"/>
  <c r="N556" i="2"/>
  <c r="N555" i="2"/>
  <c r="L555" i="2"/>
  <c r="O555" i="2" s="1"/>
  <c r="N554" i="2"/>
  <c r="L554" i="2"/>
  <c r="O554" i="2" s="1"/>
  <c r="N553" i="2"/>
  <c r="L553" i="2"/>
  <c r="O553" i="2" s="1"/>
  <c r="N552" i="2"/>
  <c r="L552" i="2"/>
  <c r="O552" i="2" s="1"/>
  <c r="N551" i="2"/>
  <c r="L551" i="2"/>
  <c r="J551" i="2"/>
  <c r="I551" i="2"/>
  <c r="K551" i="2" s="1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O536" i="2" s="1"/>
  <c r="N535" i="2"/>
  <c r="L535" i="2"/>
  <c r="N534" i="2"/>
  <c r="L534" i="2"/>
  <c r="O534" i="2" s="1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K515" i="2" s="1"/>
  <c r="J514" i="2"/>
  <c r="I514" i="2"/>
  <c r="J513" i="2"/>
  <c r="I513" i="2"/>
  <c r="K513" i="2" s="1"/>
  <c r="J512" i="2"/>
  <c r="I512" i="2"/>
  <c r="K512" i="2" s="1"/>
  <c r="J511" i="2"/>
  <c r="I511" i="2"/>
  <c r="K511" i="2" s="1"/>
  <c r="J510" i="2"/>
  <c r="I510" i="2"/>
  <c r="K510" i="2" s="1"/>
  <c r="J509" i="2"/>
  <c r="I509" i="2"/>
  <c r="K509" i="2" s="1"/>
  <c r="J508" i="2"/>
  <c r="I508" i="2"/>
  <c r="K508" i="2" s="1"/>
  <c r="J507" i="2"/>
  <c r="I507" i="2"/>
  <c r="K507" i="2" s="1"/>
  <c r="J506" i="2"/>
  <c r="I506" i="2"/>
  <c r="K506" i="2" s="1"/>
  <c r="J505" i="2"/>
  <c r="I505" i="2"/>
  <c r="K505" i="2" s="1"/>
  <c r="J504" i="2"/>
  <c r="I504" i="2"/>
  <c r="K504" i="2" s="1"/>
  <c r="J503" i="2"/>
  <c r="I503" i="2"/>
  <c r="K503" i="2" s="1"/>
  <c r="J502" i="2"/>
  <c r="I502" i="2"/>
  <c r="K502" i="2" s="1"/>
  <c r="J501" i="2"/>
  <c r="I501" i="2"/>
  <c r="K501" i="2" s="1"/>
  <c r="J500" i="2"/>
  <c r="I500" i="2"/>
  <c r="K500" i="2" s="1"/>
  <c r="J499" i="2"/>
  <c r="I499" i="2"/>
  <c r="J498" i="2"/>
  <c r="I498" i="2"/>
  <c r="J497" i="2"/>
  <c r="I497" i="2"/>
  <c r="J496" i="2"/>
  <c r="I496" i="2"/>
  <c r="K496" i="2" s="1"/>
  <c r="J495" i="2"/>
  <c r="I495" i="2"/>
  <c r="K495" i="2" s="1"/>
  <c r="J494" i="2"/>
  <c r="I494" i="2"/>
  <c r="K494" i="2" s="1"/>
  <c r="J493" i="2"/>
  <c r="I493" i="2"/>
  <c r="K493" i="2" s="1"/>
  <c r="J492" i="2"/>
  <c r="I492" i="2"/>
  <c r="J491" i="2"/>
  <c r="I491" i="2"/>
  <c r="K491" i="2" s="1"/>
  <c r="J490" i="2"/>
  <c r="I490" i="2"/>
  <c r="K490" i="2" s="1"/>
  <c r="J489" i="2"/>
  <c r="I489" i="2"/>
  <c r="K489" i="2" s="1"/>
  <c r="J488" i="2"/>
  <c r="I488" i="2"/>
  <c r="K488" i="2" s="1"/>
  <c r="J487" i="2"/>
  <c r="I487" i="2"/>
  <c r="K487" i="2" s="1"/>
  <c r="J486" i="2"/>
  <c r="I486" i="2"/>
  <c r="K486" i="2" s="1"/>
  <c r="J485" i="2"/>
  <c r="I485" i="2"/>
  <c r="K485" i="2" s="1"/>
  <c r="J484" i="2"/>
  <c r="I484" i="2"/>
  <c r="J483" i="2"/>
  <c r="I483" i="2"/>
  <c r="K483" i="2" s="1"/>
  <c r="J482" i="2"/>
  <c r="I482" i="2"/>
  <c r="J481" i="2"/>
  <c r="I481" i="2"/>
  <c r="J480" i="2"/>
  <c r="I480" i="2"/>
  <c r="K480" i="2" s="1"/>
  <c r="J479" i="2"/>
  <c r="I479" i="2"/>
  <c r="J478" i="2"/>
  <c r="I478" i="2"/>
  <c r="K478" i="2" s="1"/>
  <c r="J477" i="2"/>
  <c r="I477" i="2"/>
  <c r="K477" i="2" s="1"/>
  <c r="J476" i="2"/>
  <c r="I476" i="2"/>
  <c r="K476" i="2" s="1"/>
  <c r="J475" i="2"/>
  <c r="I475" i="2"/>
  <c r="K475" i="2" s="1"/>
  <c r="J474" i="2"/>
  <c r="I474" i="2"/>
  <c r="J473" i="2"/>
  <c r="I473" i="2"/>
  <c r="J472" i="2"/>
  <c r="I472" i="2"/>
  <c r="K472" i="2" s="1"/>
  <c r="J471" i="2"/>
  <c r="I471" i="2"/>
  <c r="K471" i="2" s="1"/>
  <c r="J470" i="2"/>
  <c r="I470" i="2"/>
  <c r="J469" i="2"/>
  <c r="I469" i="2"/>
  <c r="K469" i="2" s="1"/>
  <c r="J468" i="2"/>
  <c r="I468" i="2"/>
  <c r="K468" i="2" s="1"/>
  <c r="J467" i="2"/>
  <c r="I467" i="2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N457" i="2"/>
  <c r="L457" i="2"/>
  <c r="N456" i="2"/>
  <c r="L456" i="2"/>
  <c r="O456" i="2" s="1"/>
  <c r="N455" i="2"/>
  <c r="L455" i="2"/>
  <c r="J455" i="2"/>
  <c r="I455" i="2"/>
  <c r="J454" i="2"/>
  <c r="J453" i="2"/>
  <c r="J452" i="2"/>
  <c r="I452" i="2"/>
  <c r="K452" i="2" s="1"/>
  <c r="J451" i="2"/>
  <c r="I451" i="2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O438" i="2" s="1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O405" i="2" s="1"/>
  <c r="N404" i="2"/>
  <c r="L404" i="2"/>
  <c r="N403" i="2"/>
  <c r="L403" i="2"/>
  <c r="O403" i="2" s="1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O384" i="2" s="1"/>
  <c r="N383" i="2"/>
  <c r="L383" i="2"/>
  <c r="N382" i="2"/>
  <c r="L382" i="2"/>
  <c r="O382" i="2" s="1"/>
  <c r="J381" i="2"/>
  <c r="I381" i="2"/>
  <c r="N380" i="2"/>
  <c r="L380" i="2"/>
  <c r="J380" i="2"/>
  <c r="I380" i="2"/>
  <c r="J379" i="2"/>
  <c r="J378" i="2"/>
  <c r="J377" i="2"/>
  <c r="I377" i="2"/>
  <c r="K377" i="2" s="1"/>
  <c r="J376" i="2"/>
  <c r="I376" i="2"/>
  <c r="J375" i="2"/>
  <c r="I375" i="2"/>
  <c r="J374" i="2"/>
  <c r="I374" i="2"/>
  <c r="J373" i="2"/>
  <c r="I373" i="2"/>
  <c r="K373" i="2" s="1"/>
  <c r="J372" i="2"/>
  <c r="I372" i="2"/>
  <c r="J371" i="2"/>
  <c r="I371" i="2"/>
  <c r="K371" i="2" s="1"/>
  <c r="J370" i="2"/>
  <c r="I370" i="2"/>
  <c r="J369" i="2"/>
  <c r="I369" i="2"/>
  <c r="K369" i="2" s="1"/>
  <c r="J368" i="2"/>
  <c r="I368" i="2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N353" i="2"/>
  <c r="L353" i="2"/>
  <c r="N352" i="2"/>
  <c r="L352" i="2"/>
  <c r="N351" i="2"/>
  <c r="L351" i="2"/>
  <c r="J350" i="2"/>
  <c r="I350" i="2"/>
  <c r="N349" i="2"/>
  <c r="L349" i="2"/>
  <c r="J349" i="2"/>
  <c r="I349" i="2"/>
  <c r="N347" i="2"/>
  <c r="L347" i="2"/>
  <c r="J346" i="2"/>
  <c r="I346" i="2"/>
  <c r="K346" i="2" s="1"/>
  <c r="J345" i="2"/>
  <c r="I345" i="2"/>
  <c r="J344" i="2"/>
  <c r="I344" i="2"/>
  <c r="K344" i="2" s="1"/>
  <c r="J343" i="2"/>
  <c r="I343" i="2"/>
  <c r="J342" i="2"/>
  <c r="I342" i="2"/>
  <c r="K342" i="2" s="1"/>
  <c r="J341" i="2"/>
  <c r="I341" i="2"/>
  <c r="J340" i="2"/>
  <c r="I340" i="2"/>
  <c r="J339" i="2"/>
  <c r="I339" i="2"/>
  <c r="K339" i="2" s="1"/>
  <c r="N337" i="2"/>
  <c r="L337" i="2"/>
  <c r="L335" i="2"/>
  <c r="L334" i="2"/>
  <c r="N333" i="2"/>
  <c r="M333" i="2"/>
  <c r="O332" i="2"/>
  <c r="N330" i="2"/>
  <c r="M330" i="2"/>
  <c r="L330" i="2"/>
  <c r="O330" i="2" s="1"/>
  <c r="J328" i="2"/>
  <c r="I328" i="2"/>
  <c r="J326" i="2"/>
  <c r="J325" i="2"/>
  <c r="J324" i="2"/>
  <c r="I324" i="2"/>
  <c r="J323" i="2"/>
  <c r="J322" i="2"/>
  <c r="J321" i="2"/>
  <c r="J320" i="2"/>
  <c r="N318" i="2"/>
  <c r="L318" i="2"/>
  <c r="O318" i="2" s="1"/>
  <c r="L316" i="2"/>
  <c r="L315" i="2"/>
  <c r="N314" i="2"/>
  <c r="M314" i="2"/>
  <c r="M312" i="2" s="1"/>
  <c r="O313" i="2"/>
  <c r="N311" i="2"/>
  <c r="M311" i="2"/>
  <c r="P311" i="2" s="1"/>
  <c r="L311" i="2"/>
  <c r="O311" i="2" s="1"/>
  <c r="J309" i="2"/>
  <c r="I309" i="2"/>
  <c r="J308" i="2"/>
  <c r="J307" i="2"/>
  <c r="J306" i="2"/>
  <c r="I306" i="2"/>
  <c r="J304" i="2"/>
  <c r="I304" i="2"/>
  <c r="J303" i="2"/>
  <c r="J302" i="2"/>
  <c r="J301" i="2"/>
  <c r="J300" i="2"/>
  <c r="N298" i="2"/>
  <c r="L298" i="2"/>
  <c r="O298" i="2" s="1"/>
  <c r="L296" i="2"/>
  <c r="L295" i="2"/>
  <c r="N294" i="2"/>
  <c r="M294" i="2"/>
  <c r="O293" i="2"/>
  <c r="N291" i="2"/>
  <c r="M291" i="2"/>
  <c r="P291" i="2" s="1"/>
  <c r="L291" i="2"/>
  <c r="J289" i="2"/>
  <c r="I289" i="2"/>
  <c r="J287" i="2"/>
  <c r="J286" i="2"/>
  <c r="J285" i="2"/>
  <c r="I285" i="2"/>
  <c r="J284" i="2"/>
  <c r="J283" i="2"/>
  <c r="J282" i="2"/>
  <c r="J281" i="2"/>
  <c r="N279" i="2"/>
  <c r="L279" i="2"/>
  <c r="O279" i="2" s="1"/>
  <c r="L277" i="2"/>
  <c r="L276" i="2"/>
  <c r="N275" i="2"/>
  <c r="M275" i="2"/>
  <c r="M273" i="2" s="1"/>
  <c r="O274" i="2"/>
  <c r="N272" i="2"/>
  <c r="M272" i="2"/>
  <c r="P272" i="2" s="1"/>
  <c r="L272" i="2"/>
  <c r="O272" i="2" s="1"/>
  <c r="J270" i="2"/>
  <c r="I270" i="2"/>
  <c r="J269" i="2"/>
  <c r="J268" i="2"/>
  <c r="J267" i="2"/>
  <c r="I267" i="2"/>
  <c r="J266" i="2"/>
  <c r="I266" i="2"/>
  <c r="J265" i="2"/>
  <c r="I265" i="2"/>
  <c r="J264" i="2"/>
  <c r="I264" i="2"/>
  <c r="J263" i="2"/>
  <c r="J262" i="2"/>
  <c r="J261" i="2"/>
  <c r="J260" i="2"/>
  <c r="N258" i="2"/>
  <c r="L258" i="2"/>
  <c r="O258" i="2" s="1"/>
  <c r="L256" i="2"/>
  <c r="L255" i="2"/>
  <c r="N254" i="2"/>
  <c r="M254" i="2"/>
  <c r="M252" i="2" s="1"/>
  <c r="O253" i="2"/>
  <c r="N251" i="2"/>
  <c r="M251" i="2"/>
  <c r="P251" i="2" s="1"/>
  <c r="L251" i="2"/>
  <c r="O251" i="2" s="1"/>
  <c r="J249" i="2"/>
  <c r="I249" i="2"/>
  <c r="J246" i="2"/>
  <c r="J245" i="2"/>
  <c r="J244" i="2"/>
  <c r="I244" i="2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L228" i="2"/>
  <c r="L226" i="2"/>
  <c r="L225" i="2"/>
  <c r="N224" i="2"/>
  <c r="M224" i="2"/>
  <c r="O223" i="2"/>
  <c r="P221" i="2"/>
  <c r="N221" i="2"/>
  <c r="M221" i="2"/>
  <c r="L221" i="2"/>
  <c r="O221" i="2" s="1"/>
  <c r="J219" i="2"/>
  <c r="I219" i="2"/>
  <c r="J218" i="2"/>
  <c r="J217" i="2"/>
  <c r="J216" i="2"/>
  <c r="I216" i="2"/>
  <c r="K216" i="2" s="1"/>
  <c r="J215" i="2"/>
  <c r="I215" i="2"/>
  <c r="K215" i="2" s="1"/>
  <c r="J213" i="2"/>
  <c r="I213" i="2"/>
  <c r="K213" i="2" s="1"/>
  <c r="J212" i="2"/>
  <c r="J211" i="2"/>
  <c r="J210" i="2"/>
  <c r="J209" i="2"/>
  <c r="J204" i="2"/>
  <c r="I204" i="2"/>
  <c r="K204" i="2" s="1"/>
  <c r="J203" i="2"/>
  <c r="J202" i="2"/>
  <c r="J201" i="2"/>
  <c r="I201" i="2"/>
  <c r="K201" i="2" s="1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K186" i="2" s="1"/>
  <c r="J185" i="2"/>
  <c r="I185" i="2"/>
  <c r="K185" i="2" s="1"/>
  <c r="J184" i="2"/>
  <c r="J183" i="2"/>
  <c r="J182" i="2"/>
  <c r="J181" i="2"/>
  <c r="J176" i="2"/>
  <c r="I176" i="2"/>
  <c r="K176" i="2" s="1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O148" i="2" s="1"/>
  <c r="L146" i="2"/>
  <c r="L145" i="2"/>
  <c r="N144" i="2"/>
  <c r="M144" i="2"/>
  <c r="O143" i="2"/>
  <c r="P141" i="2"/>
  <c r="N141" i="2"/>
  <c r="M141" i="2"/>
  <c r="L141" i="2"/>
  <c r="O141" i="2" s="1"/>
  <c r="J138" i="2"/>
  <c r="I138" i="2"/>
  <c r="K138" i="2" s="1"/>
  <c r="J135" i="2"/>
  <c r="J134" i="2"/>
  <c r="J133" i="2"/>
  <c r="I133" i="2"/>
  <c r="J132" i="2"/>
  <c r="I132" i="2"/>
  <c r="J131" i="2"/>
  <c r="J130" i="2"/>
  <c r="J129" i="2"/>
  <c r="J128" i="2"/>
  <c r="N126" i="2"/>
  <c r="L126" i="2"/>
  <c r="O126" i="2" s="1"/>
  <c r="L124" i="2"/>
  <c r="L123" i="2"/>
  <c r="N122" i="2"/>
  <c r="M122" i="2"/>
  <c r="O121" i="2"/>
  <c r="N119" i="2"/>
  <c r="M119" i="2"/>
  <c r="P119" i="2" s="1"/>
  <c r="L119" i="2"/>
  <c r="O119" i="2" s="1"/>
  <c r="J117" i="2"/>
  <c r="I117" i="2"/>
  <c r="J115" i="2"/>
  <c r="J114" i="2"/>
  <c r="J113" i="2"/>
  <c r="I113" i="2"/>
  <c r="K113" i="2" s="1"/>
  <c r="J112" i="2"/>
  <c r="I112" i="2"/>
  <c r="K112" i="2" s="1"/>
  <c r="J111" i="2"/>
  <c r="I111" i="2"/>
  <c r="K111" i="2" s="1"/>
  <c r="J110" i="2"/>
  <c r="I110" i="2"/>
  <c r="K110" i="2" s="1"/>
  <c r="J109" i="2"/>
  <c r="I109" i="2"/>
  <c r="K109" i="2" s="1"/>
  <c r="J108" i="2"/>
  <c r="I108" i="2"/>
  <c r="K108" i="2" s="1"/>
  <c r="J107" i="2"/>
  <c r="J106" i="2"/>
  <c r="J105" i="2"/>
  <c r="J104" i="2"/>
  <c r="N102" i="2"/>
  <c r="L102" i="2"/>
  <c r="O102" i="2" s="1"/>
  <c r="L100" i="2"/>
  <c r="L99" i="2"/>
  <c r="N98" i="2"/>
  <c r="M98" i="2"/>
  <c r="P98" i="2" s="1"/>
  <c r="O97" i="2"/>
  <c r="O95" i="2"/>
  <c r="N95" i="2"/>
  <c r="M95" i="2"/>
  <c r="P95" i="2" s="1"/>
  <c r="L95" i="2"/>
  <c r="J93" i="2"/>
  <c r="I93" i="2"/>
  <c r="K93" i="2" s="1"/>
  <c r="J92" i="2"/>
  <c r="I92" i="2"/>
  <c r="K92" i="2" s="1"/>
  <c r="J90" i="2"/>
  <c r="J89" i="2"/>
  <c r="J88" i="2"/>
  <c r="I88" i="2"/>
  <c r="K88" i="2" s="1"/>
  <c r="J87" i="2"/>
  <c r="I87" i="2"/>
  <c r="K87" i="2" s="1"/>
  <c r="J86" i="2"/>
  <c r="I86" i="2"/>
  <c r="K86" i="2" s="1"/>
  <c r="J85" i="2"/>
  <c r="I85" i="2"/>
  <c r="J84" i="2"/>
  <c r="I84" i="2"/>
  <c r="K84" i="2" s="1"/>
  <c r="J83" i="2"/>
  <c r="I83" i="2"/>
  <c r="K83" i="2" s="1"/>
  <c r="J82" i="2"/>
  <c r="I82" i="2"/>
  <c r="K82" i="2" s="1"/>
  <c r="J81" i="2"/>
  <c r="I81" i="2"/>
  <c r="K81" i="2" s="1"/>
  <c r="J80" i="2"/>
  <c r="I80" i="2"/>
  <c r="K80" i="2" s="1"/>
  <c r="J79" i="2"/>
  <c r="J78" i="2"/>
  <c r="J77" i="2"/>
  <c r="J76" i="2"/>
  <c r="N74" i="2"/>
  <c r="L74" i="2"/>
  <c r="O74" i="2" s="1"/>
  <c r="L72" i="2"/>
  <c r="L71" i="2"/>
  <c r="N70" i="2"/>
  <c r="M70" i="2"/>
  <c r="O69" i="2"/>
  <c r="P67" i="2"/>
  <c r="O67" i="2"/>
  <c r="N67" i="2"/>
  <c r="M67" i="2"/>
  <c r="L67" i="2"/>
  <c r="J65" i="2"/>
  <c r="I65" i="2"/>
  <c r="K65" i="2" s="1"/>
  <c r="J64" i="2"/>
  <c r="I64" i="2"/>
  <c r="K64" i="2" s="1"/>
  <c r="N61" i="2"/>
  <c r="L61" i="2"/>
  <c r="O61" i="2" s="1"/>
  <c r="L59" i="2"/>
  <c r="L58" i="2"/>
  <c r="N57" i="2"/>
  <c r="M57" i="2"/>
  <c r="O54" i="2"/>
  <c r="N54" i="2"/>
  <c r="M54" i="2"/>
  <c r="P54" i="2" s="1"/>
  <c r="L54" i="2"/>
  <c r="N49" i="2"/>
  <c r="L49" i="2"/>
  <c r="O49" i="2" s="1"/>
  <c r="L47" i="2"/>
  <c r="L46" i="2"/>
  <c r="N45" i="2"/>
  <c r="M45" i="2"/>
  <c r="P42" i="2"/>
  <c r="O42" i="2"/>
  <c r="N42" i="2"/>
  <c r="M42" i="2"/>
  <c r="L42" i="2"/>
  <c r="P36" i="2"/>
  <c r="O36" i="2"/>
  <c r="P35" i="2"/>
  <c r="O35" i="2"/>
  <c r="M34" i="2"/>
  <c r="P34" i="2" s="1"/>
  <c r="P33" i="2"/>
  <c r="M33" i="2"/>
  <c r="M32" i="2"/>
  <c r="M31" i="2"/>
  <c r="P31" i="2" s="1"/>
  <c r="N25" i="2"/>
  <c r="M25" i="2"/>
  <c r="P25" i="2" s="1"/>
  <c r="L25" i="2"/>
  <c r="O25" i="2" s="1"/>
  <c r="P24" i="2"/>
  <c r="N24" i="2"/>
  <c r="M24" i="2"/>
  <c r="N23" i="2"/>
  <c r="M23" i="2"/>
  <c r="O21" i="2"/>
  <c r="N21" i="2"/>
  <c r="N19" i="2" s="1"/>
  <c r="M21" i="2"/>
  <c r="M19" i="2" s="1"/>
  <c r="L21" i="2"/>
  <c r="O19" i="2"/>
  <c r="L19" i="2"/>
  <c r="P15" i="2"/>
  <c r="O15" i="2"/>
  <c r="N15" i="2"/>
  <c r="M15" i="2"/>
  <c r="L15" i="2"/>
  <c r="M14" i="2"/>
  <c r="P14" i="2" s="1"/>
  <c r="M11" i="2"/>
  <c r="P11" i="2" s="1"/>
  <c r="M9" i="2"/>
  <c r="P9" i="2" s="1"/>
  <c r="I548" i="1"/>
  <c r="K548" i="1" s="1"/>
  <c r="I365" i="1"/>
  <c r="K365" i="1" s="1"/>
  <c r="L336" i="1"/>
  <c r="O332" i="1"/>
  <c r="N332" i="1"/>
  <c r="M332" i="1"/>
  <c r="L332" i="1"/>
  <c r="N330" i="1"/>
  <c r="L330" i="1"/>
  <c r="O330" i="1" s="1"/>
  <c r="L317" i="1"/>
  <c r="N313" i="1"/>
  <c r="M313" i="1"/>
  <c r="L313" i="1"/>
  <c r="O313" i="1" s="1"/>
  <c r="P311" i="1"/>
  <c r="N311" i="1"/>
  <c r="M311" i="1"/>
  <c r="L311" i="1"/>
  <c r="O311" i="1" s="1"/>
  <c r="J307" i="1"/>
  <c r="L297" i="1"/>
  <c r="O293" i="1"/>
  <c r="N293" i="1"/>
  <c r="M293" i="1"/>
  <c r="L293" i="1"/>
  <c r="P291" i="1"/>
  <c r="N291" i="1"/>
  <c r="M291" i="1"/>
  <c r="L278" i="1"/>
  <c r="O274" i="1"/>
  <c r="N274" i="1"/>
  <c r="M274" i="1"/>
  <c r="L274" i="1"/>
  <c r="O272" i="1"/>
  <c r="N272" i="1"/>
  <c r="M272" i="1"/>
  <c r="P272" i="1" s="1"/>
  <c r="L272" i="1"/>
  <c r="L257" i="1"/>
  <c r="N253" i="1"/>
  <c r="M253" i="1"/>
  <c r="L253" i="1"/>
  <c r="O253" i="1" s="1"/>
  <c r="O251" i="1"/>
  <c r="N251" i="1"/>
  <c r="M251" i="1"/>
  <c r="P251" i="1" s="1"/>
  <c r="L251" i="1"/>
  <c r="J240" i="1"/>
  <c r="L227" i="1"/>
  <c r="N223" i="1"/>
  <c r="M223" i="1"/>
  <c r="L223" i="1"/>
  <c r="O223" i="1" s="1"/>
  <c r="P221" i="1"/>
  <c r="O221" i="1"/>
  <c r="N221" i="1"/>
  <c r="M221" i="1"/>
  <c r="L221" i="1"/>
  <c r="J214" i="1"/>
  <c r="I214" i="1"/>
  <c r="J198" i="1"/>
  <c r="L147" i="1"/>
  <c r="N143" i="1"/>
  <c r="M143" i="1"/>
  <c r="L143" i="1"/>
  <c r="O143" i="1" s="1"/>
  <c r="O141" i="1"/>
  <c r="N141" i="1"/>
  <c r="L141" i="1"/>
  <c r="L125" i="1"/>
  <c r="N121" i="1"/>
  <c r="M121" i="1"/>
  <c r="L121" i="1"/>
  <c r="O121" i="1" s="1"/>
  <c r="M119" i="1"/>
  <c r="P119" i="1" s="1"/>
  <c r="L119" i="1"/>
  <c r="O119" i="1" s="1"/>
  <c r="L101" i="1"/>
  <c r="N97" i="1"/>
  <c r="M97" i="1"/>
  <c r="L97" i="1"/>
  <c r="O97" i="1" s="1"/>
  <c r="O95" i="1"/>
  <c r="N95" i="1"/>
  <c r="L95" i="1"/>
  <c r="L73" i="1"/>
  <c r="N69" i="1"/>
  <c r="M69" i="1"/>
  <c r="L69" i="1"/>
  <c r="O69" i="1" s="1"/>
  <c r="O67" i="1"/>
  <c r="N67" i="1"/>
  <c r="M67" i="1"/>
  <c r="P67" i="1" s="1"/>
  <c r="L67" i="1"/>
  <c r="L60" i="1"/>
  <c r="L56" i="1"/>
  <c r="L54" i="1" s="1"/>
  <c r="P54" i="1"/>
  <c r="N54" i="1"/>
  <c r="M54" i="1"/>
  <c r="L48" i="1"/>
  <c r="L25" i="1" s="1"/>
  <c r="L44" i="1"/>
  <c r="L42" i="1" s="1"/>
  <c r="N42" i="1"/>
  <c r="M42" i="1"/>
  <c r="P36" i="1"/>
  <c r="O36" i="1"/>
  <c r="P35" i="1"/>
  <c r="O35" i="1"/>
  <c r="P34" i="1"/>
  <c r="M34" i="1"/>
  <c r="P33" i="1"/>
  <c r="M33" i="1"/>
  <c r="M32" i="1"/>
  <c r="M30" i="1" s="1"/>
  <c r="P30" i="1" s="1"/>
  <c r="M31" i="1"/>
  <c r="P31" i="1" s="1"/>
  <c r="M29" i="1"/>
  <c r="M28" i="1" s="1"/>
  <c r="P28" i="1" s="1"/>
  <c r="P25" i="1"/>
  <c r="N25" i="1"/>
  <c r="M25" i="1"/>
  <c r="N24" i="1"/>
  <c r="M24" i="1"/>
  <c r="P24" i="1" s="1"/>
  <c r="N23" i="1"/>
  <c r="M23" i="1"/>
  <c r="P23" i="1" s="1"/>
  <c r="N21" i="1"/>
  <c r="M21" i="1"/>
  <c r="P21" i="1" s="1"/>
  <c r="N19" i="1"/>
  <c r="M19" i="1"/>
  <c r="P15" i="1"/>
  <c r="N15" i="1"/>
  <c r="M15" i="1"/>
  <c r="M13" i="1"/>
  <c r="P13" i="1" s="1"/>
  <c r="P102" i="5" l="1"/>
  <c r="O404" i="5"/>
  <c r="O535" i="5"/>
  <c r="K564" i="5"/>
  <c r="L314" i="9"/>
  <c r="O566" i="21"/>
  <c r="K613" i="21"/>
  <c r="K419" i="21"/>
  <c r="K498" i="21"/>
  <c r="O537" i="21"/>
  <c r="K634" i="21"/>
  <c r="K629" i="15"/>
  <c r="O582" i="21"/>
  <c r="I367" i="17"/>
  <c r="K367" i="17" s="1"/>
  <c r="K631" i="20"/>
  <c r="K635" i="20"/>
  <c r="K449" i="21"/>
  <c r="L45" i="9"/>
  <c r="O45" i="9" s="1"/>
  <c r="N312" i="12"/>
  <c r="N310" i="12" s="1"/>
  <c r="K591" i="11"/>
  <c r="K595" i="11"/>
  <c r="K615" i="11"/>
  <c r="O584" i="15"/>
  <c r="O566" i="16"/>
  <c r="O580" i="16"/>
  <c r="K368" i="19"/>
  <c r="N273" i="21"/>
  <c r="N271" i="21" s="1"/>
  <c r="K631" i="15"/>
  <c r="K614" i="9"/>
  <c r="K593" i="3"/>
  <c r="K396" i="2"/>
  <c r="O404" i="2"/>
  <c r="K429" i="2"/>
  <c r="K450" i="2"/>
  <c r="O564" i="3"/>
  <c r="O599" i="5"/>
  <c r="K629" i="5"/>
  <c r="K633" i="5"/>
  <c r="P45" i="14"/>
  <c r="K551" i="21"/>
  <c r="K560" i="21"/>
  <c r="K628" i="11"/>
  <c r="K464" i="20"/>
  <c r="O352" i="17"/>
  <c r="J366" i="1"/>
  <c r="P45" i="10"/>
  <c r="K473" i="4"/>
  <c r="K497" i="4"/>
  <c r="O568" i="4"/>
  <c r="L98" i="2"/>
  <c r="O98" i="2" s="1"/>
  <c r="K109" i="3"/>
  <c r="K113" i="3"/>
  <c r="N96" i="19"/>
  <c r="N94" i="19" s="1"/>
  <c r="K81" i="14"/>
  <c r="K449" i="8"/>
  <c r="K628" i="17"/>
  <c r="L57" i="3"/>
  <c r="O57" i="3" s="1"/>
  <c r="N68" i="15"/>
  <c r="L45" i="5"/>
  <c r="O45" i="5" s="1"/>
  <c r="K112" i="5"/>
  <c r="K92" i="11"/>
  <c r="K430" i="11"/>
  <c r="K435" i="11"/>
  <c r="K465" i="11"/>
  <c r="K481" i="11"/>
  <c r="K497" i="11"/>
  <c r="O564" i="11"/>
  <c r="O535" i="18"/>
  <c r="K564" i="18"/>
  <c r="K396" i="14"/>
  <c r="K401" i="14"/>
  <c r="K450" i="14"/>
  <c r="K455" i="14"/>
  <c r="K464" i="14"/>
  <c r="K628" i="14"/>
  <c r="O404" i="12"/>
  <c r="N55" i="15"/>
  <c r="N53" i="15" s="1"/>
  <c r="K185" i="20"/>
  <c r="N55" i="16"/>
  <c r="N53" i="16" s="1"/>
  <c r="I189" i="1"/>
  <c r="K402" i="14"/>
  <c r="K630" i="20"/>
  <c r="K580" i="18"/>
  <c r="K593" i="18"/>
  <c r="K112" i="9"/>
  <c r="L98" i="14"/>
  <c r="O98" i="14" s="1"/>
  <c r="L254" i="20"/>
  <c r="L252" i="20" s="1"/>
  <c r="L250" i="20" s="1"/>
  <c r="K264" i="20"/>
  <c r="K340" i="20"/>
  <c r="K591" i="18"/>
  <c r="K595" i="18"/>
  <c r="K635" i="21"/>
  <c r="K328" i="20"/>
  <c r="K464" i="21"/>
  <c r="K632" i="21"/>
  <c r="K219" i="16"/>
  <c r="K113" i="5"/>
  <c r="L57" i="6"/>
  <c r="L55" i="6" s="1"/>
  <c r="K86" i="10"/>
  <c r="K631" i="13"/>
  <c r="K176" i="14"/>
  <c r="K186" i="14"/>
  <c r="K267" i="14"/>
  <c r="K635" i="6"/>
  <c r="K381" i="8"/>
  <c r="O401" i="15"/>
  <c r="K149" i="13"/>
  <c r="L224" i="14"/>
  <c r="L222" i="14" s="1"/>
  <c r="K264" i="14"/>
  <c r="K381" i="12"/>
  <c r="K547" i="12"/>
  <c r="I489" i="1"/>
  <c r="K489" i="1" s="1"/>
  <c r="K349" i="7"/>
  <c r="K133" i="17"/>
  <c r="J82" i="1"/>
  <c r="N43" i="16"/>
  <c r="N41" i="16" s="1"/>
  <c r="N222" i="16"/>
  <c r="N220" i="16" s="1"/>
  <c r="K133" i="20"/>
  <c r="I216" i="1"/>
  <c r="K499" i="18"/>
  <c r="K328" i="9"/>
  <c r="N333" i="1"/>
  <c r="J340" i="1"/>
  <c r="J349" i="1"/>
  <c r="N352" i="1"/>
  <c r="K375" i="9"/>
  <c r="K380" i="9"/>
  <c r="O383" i="9"/>
  <c r="I435" i="1"/>
  <c r="I497" i="1"/>
  <c r="N458" i="1"/>
  <c r="N142" i="11"/>
  <c r="N140" i="11" s="1"/>
  <c r="K396" i="13"/>
  <c r="L224" i="16"/>
  <c r="L222" i="16" s="1"/>
  <c r="J135" i="1"/>
  <c r="I235" i="1"/>
  <c r="K82" i="3"/>
  <c r="J181" i="1"/>
  <c r="L457" i="1"/>
  <c r="I618" i="1"/>
  <c r="K591" i="6"/>
  <c r="O601" i="7"/>
  <c r="K635" i="7"/>
  <c r="J265" i="1"/>
  <c r="K591" i="8"/>
  <c r="K595" i="8"/>
  <c r="K628" i="8"/>
  <c r="K632" i="8"/>
  <c r="K422" i="10"/>
  <c r="K430" i="10"/>
  <c r="K533" i="10"/>
  <c r="O568" i="10"/>
  <c r="K84" i="12"/>
  <c r="N273" i="18"/>
  <c r="N271" i="18" s="1"/>
  <c r="K533" i="6"/>
  <c r="O568" i="6"/>
  <c r="K396" i="7"/>
  <c r="K417" i="7"/>
  <c r="K64" i="8"/>
  <c r="K372" i="10"/>
  <c r="K398" i="10"/>
  <c r="K423" i="10"/>
  <c r="K431" i="10"/>
  <c r="K498" i="10"/>
  <c r="K580" i="10"/>
  <c r="K589" i="10"/>
  <c r="K593" i="10"/>
  <c r="K634" i="10"/>
  <c r="L57" i="11"/>
  <c r="O57" i="11" s="1"/>
  <c r="K64" i="14"/>
  <c r="K466" i="15"/>
  <c r="K482" i="15"/>
  <c r="K498" i="15"/>
  <c r="K173" i="18"/>
  <c r="K200" i="18"/>
  <c r="I375" i="1"/>
  <c r="L316" i="1"/>
  <c r="O597" i="4"/>
  <c r="L144" i="21"/>
  <c r="O144" i="21" s="1"/>
  <c r="I380" i="1"/>
  <c r="I505" i="1"/>
  <c r="K505" i="1" s="1"/>
  <c r="J286" i="1"/>
  <c r="L315" i="1"/>
  <c r="J365" i="1"/>
  <c r="J379" i="1"/>
  <c r="N382" i="1"/>
  <c r="J434" i="1"/>
  <c r="J450" i="1"/>
  <c r="J464" i="1"/>
  <c r="J468" i="1"/>
  <c r="N541" i="1"/>
  <c r="N557" i="1"/>
  <c r="J623" i="1"/>
  <c r="J632" i="1"/>
  <c r="N142" i="6"/>
  <c r="N140" i="6" s="1"/>
  <c r="P275" i="13"/>
  <c r="K420" i="16"/>
  <c r="K176" i="20"/>
  <c r="K186" i="20"/>
  <c r="K368" i="20"/>
  <c r="K158" i="21"/>
  <c r="L383" i="1"/>
  <c r="I515" i="1"/>
  <c r="K515" i="1" s="1"/>
  <c r="K401" i="4"/>
  <c r="K138" i="6"/>
  <c r="K267" i="8"/>
  <c r="L333" i="8"/>
  <c r="O333" i="8" s="1"/>
  <c r="K341" i="8"/>
  <c r="J367" i="1"/>
  <c r="J77" i="1"/>
  <c r="J86" i="1"/>
  <c r="J92" i="1"/>
  <c r="J270" i="1"/>
  <c r="K109" i="11"/>
  <c r="K564" i="11"/>
  <c r="K173" i="15"/>
  <c r="L403" i="1"/>
  <c r="O403" i="1" s="1"/>
  <c r="O599" i="4"/>
  <c r="K633" i="4"/>
  <c r="I517" i="1"/>
  <c r="I533" i="1"/>
  <c r="N57" i="1"/>
  <c r="N120" i="10"/>
  <c r="N118" i="10" s="1"/>
  <c r="K229" i="19"/>
  <c r="L47" i="1"/>
  <c r="J267" i="1"/>
  <c r="K634" i="3"/>
  <c r="L57" i="8"/>
  <c r="O57" i="8" s="1"/>
  <c r="M43" i="21"/>
  <c r="M41" i="21" s="1"/>
  <c r="L584" i="1"/>
  <c r="N68" i="18"/>
  <c r="N66" i="18" s="1"/>
  <c r="K200" i="20"/>
  <c r="L72" i="1"/>
  <c r="J149" i="1"/>
  <c r="K376" i="2"/>
  <c r="O380" i="2"/>
  <c r="O435" i="2"/>
  <c r="K199" i="3"/>
  <c r="L224" i="3"/>
  <c r="L222" i="3" s="1"/>
  <c r="L220" i="3" s="1"/>
  <c r="K449" i="3"/>
  <c r="O584" i="3"/>
  <c r="I526" i="1"/>
  <c r="L70" i="9"/>
  <c r="O70" i="9" s="1"/>
  <c r="L98" i="10"/>
  <c r="O98" i="10" s="1"/>
  <c r="K112" i="10"/>
  <c r="K396" i="10"/>
  <c r="K450" i="10"/>
  <c r="K595" i="10"/>
  <c r="K628" i="10"/>
  <c r="K64" i="11"/>
  <c r="K83" i="11"/>
  <c r="K497" i="12"/>
  <c r="K368" i="13"/>
  <c r="K474" i="13"/>
  <c r="K498" i="13"/>
  <c r="O435" i="16"/>
  <c r="O439" i="16"/>
  <c r="O533" i="17"/>
  <c r="O404" i="19"/>
  <c r="K429" i="19"/>
  <c r="O437" i="19"/>
  <c r="K450" i="19"/>
  <c r="O535" i="19"/>
  <c r="K573" i="19"/>
  <c r="K619" i="19"/>
  <c r="K628" i="19"/>
  <c r="O582" i="20"/>
  <c r="L435" i="1"/>
  <c r="I518" i="1"/>
  <c r="N569" i="1"/>
  <c r="L296" i="1"/>
  <c r="J325" i="1"/>
  <c r="I626" i="1"/>
  <c r="J326" i="1"/>
  <c r="N403" i="1"/>
  <c r="J547" i="1"/>
  <c r="L568" i="1"/>
  <c r="J194" i="1"/>
  <c r="K185" i="5"/>
  <c r="K372" i="5"/>
  <c r="J486" i="1"/>
  <c r="J494" i="1"/>
  <c r="J498" i="1"/>
  <c r="J514" i="1"/>
  <c r="J551" i="1"/>
  <c r="N570" i="1"/>
  <c r="J593" i="1"/>
  <c r="J262" i="1"/>
  <c r="L354" i="1"/>
  <c r="N406" i="1"/>
  <c r="J452" i="1"/>
  <c r="N456" i="1"/>
  <c r="J478" i="1"/>
  <c r="J592" i="1"/>
  <c r="N599" i="1"/>
  <c r="J629" i="1"/>
  <c r="J175" i="1"/>
  <c r="J185" i="1"/>
  <c r="J195" i="1"/>
  <c r="J105" i="1"/>
  <c r="J110" i="1"/>
  <c r="J200" i="1"/>
  <c r="O354" i="10"/>
  <c r="K573" i="13"/>
  <c r="K499" i="14"/>
  <c r="K216" i="15"/>
  <c r="L254" i="15"/>
  <c r="O254" i="15" s="1"/>
  <c r="K375" i="17"/>
  <c r="K426" i="17"/>
  <c r="K200" i="19"/>
  <c r="K349" i="21"/>
  <c r="I201" i="1"/>
  <c r="L298" i="1"/>
  <c r="O298" i="1" s="1"/>
  <c r="J281" i="1"/>
  <c r="J476" i="1"/>
  <c r="J480" i="1"/>
  <c r="J504" i="1"/>
  <c r="J508" i="1"/>
  <c r="J512" i="1"/>
  <c r="J516" i="1"/>
  <c r="J520" i="1"/>
  <c r="J524" i="1"/>
  <c r="J528" i="1"/>
  <c r="J532" i="1"/>
  <c r="N535" i="1"/>
  <c r="J548" i="1"/>
  <c r="N552" i="1"/>
  <c r="J564" i="1"/>
  <c r="J573" i="1"/>
  <c r="N581" i="1"/>
  <c r="J346" i="1"/>
  <c r="N407" i="1"/>
  <c r="I449" i="1"/>
  <c r="L224" i="8"/>
  <c r="O224" i="8" s="1"/>
  <c r="O537" i="16"/>
  <c r="I486" i="1"/>
  <c r="K486" i="1" s="1"/>
  <c r="I635" i="1"/>
  <c r="N224" i="1"/>
  <c r="N358" i="1"/>
  <c r="J499" i="1"/>
  <c r="L294" i="7"/>
  <c r="O294" i="7" s="1"/>
  <c r="K580" i="8"/>
  <c r="K117" i="11"/>
  <c r="L122" i="11"/>
  <c r="L120" i="11" s="1"/>
  <c r="P333" i="12"/>
  <c r="K340" i="12"/>
  <c r="K345" i="13"/>
  <c r="K375" i="13"/>
  <c r="K397" i="13"/>
  <c r="O553" i="13"/>
  <c r="O582" i="13"/>
  <c r="K429" i="15"/>
  <c r="K455" i="15"/>
  <c r="K631" i="16"/>
  <c r="K635" i="16"/>
  <c r="P45" i="18"/>
  <c r="K110" i="21"/>
  <c r="K176" i="21"/>
  <c r="O349" i="21"/>
  <c r="L334" i="1"/>
  <c r="J413" i="1"/>
  <c r="N455" i="1"/>
  <c r="J473" i="1"/>
  <c r="J497" i="1"/>
  <c r="J64" i="1"/>
  <c r="J112" i="1"/>
  <c r="I401" i="1"/>
  <c r="K173" i="8"/>
  <c r="I367" i="15"/>
  <c r="K367" i="15" s="1"/>
  <c r="K235" i="16"/>
  <c r="K396" i="16"/>
  <c r="N142" i="19"/>
  <c r="N140" i="19" s="1"/>
  <c r="N252" i="21"/>
  <c r="N250" i="21" s="1"/>
  <c r="L59" i="1"/>
  <c r="J345" i="1"/>
  <c r="N353" i="1"/>
  <c r="I398" i="1"/>
  <c r="I402" i="1"/>
  <c r="I597" i="1"/>
  <c r="I613" i="1"/>
  <c r="I630" i="1"/>
  <c r="J309" i="1"/>
  <c r="N337" i="1"/>
  <c r="I369" i="1"/>
  <c r="K369" i="1" s="1"/>
  <c r="I377" i="1"/>
  <c r="L385" i="1"/>
  <c r="I416" i="1"/>
  <c r="I420" i="1"/>
  <c r="I519" i="1"/>
  <c r="I523" i="1"/>
  <c r="I527" i="1"/>
  <c r="I547" i="1"/>
  <c r="L580" i="1"/>
  <c r="I614" i="1"/>
  <c r="I622" i="1"/>
  <c r="I631" i="1"/>
  <c r="L533" i="1"/>
  <c r="K85" i="5"/>
  <c r="K350" i="11"/>
  <c r="O537" i="13"/>
  <c r="K580" i="13"/>
  <c r="L61" i="1"/>
  <c r="O61" i="1" s="1"/>
  <c r="I339" i="1"/>
  <c r="K339" i="1" s="1"/>
  <c r="O337" i="2"/>
  <c r="K92" i="3"/>
  <c r="K628" i="7"/>
  <c r="K632" i="7"/>
  <c r="K158" i="8"/>
  <c r="O352" i="8"/>
  <c r="L275" i="16"/>
  <c r="O275" i="16" s="1"/>
  <c r="K426" i="16"/>
  <c r="K430" i="16"/>
  <c r="K265" i="20"/>
  <c r="I513" i="1"/>
  <c r="K513" i="1" s="1"/>
  <c r="J162" i="1"/>
  <c r="I173" i="1"/>
  <c r="J243" i="1"/>
  <c r="L224" i="4"/>
  <c r="O224" i="4" s="1"/>
  <c r="K547" i="4"/>
  <c r="K341" i="5"/>
  <c r="K345" i="5"/>
  <c r="O349" i="5"/>
  <c r="K375" i="5"/>
  <c r="K380" i="5"/>
  <c r="O383" i="5"/>
  <c r="L333" i="7"/>
  <c r="L331" i="7" s="1"/>
  <c r="K380" i="8"/>
  <c r="O383" i="8"/>
  <c r="K397" i="8"/>
  <c r="O401" i="8"/>
  <c r="K422" i="8"/>
  <c r="K465" i="8"/>
  <c r="K473" i="8"/>
  <c r="K497" i="8"/>
  <c r="N120" i="9"/>
  <c r="N118" i="9" s="1"/>
  <c r="K482" i="9"/>
  <c r="O568" i="9"/>
  <c r="P144" i="10"/>
  <c r="P70" i="13"/>
  <c r="I367" i="14"/>
  <c r="K367" i="14" s="1"/>
  <c r="M120" i="15"/>
  <c r="P120" i="15" s="1"/>
  <c r="O406" i="15"/>
  <c r="O599" i="16"/>
  <c r="K92" i="17"/>
  <c r="K266" i="17"/>
  <c r="K573" i="17"/>
  <c r="K464" i="18"/>
  <c r="O555" i="18"/>
  <c r="O601" i="18"/>
  <c r="K635" i="18"/>
  <c r="O564" i="19"/>
  <c r="O568" i="19"/>
  <c r="K629" i="19"/>
  <c r="K80" i="20"/>
  <c r="K474" i="20"/>
  <c r="K593" i="20"/>
  <c r="K597" i="20"/>
  <c r="K108" i="21"/>
  <c r="K112" i="21"/>
  <c r="K200" i="21"/>
  <c r="I506" i="1"/>
  <c r="K506" i="1" s="1"/>
  <c r="I561" i="1"/>
  <c r="K561" i="1" s="1"/>
  <c r="I590" i="1"/>
  <c r="K590" i="1" s="1"/>
  <c r="L57" i="2"/>
  <c r="O57" i="2" s="1"/>
  <c r="L254" i="2"/>
  <c r="O254" i="2" s="1"/>
  <c r="K264" i="2"/>
  <c r="P45" i="4"/>
  <c r="L98" i="4"/>
  <c r="O98" i="4" s="1"/>
  <c r="K229" i="4"/>
  <c r="N32" i="4"/>
  <c r="N30" i="4" s="1"/>
  <c r="K380" i="4"/>
  <c r="O401" i="4"/>
  <c r="K430" i="4"/>
  <c r="K465" i="4"/>
  <c r="M252" i="10"/>
  <c r="M250" i="10" s="1"/>
  <c r="P250" i="10" s="1"/>
  <c r="K474" i="10"/>
  <c r="J187" i="1"/>
  <c r="O353" i="4"/>
  <c r="L33" i="4"/>
  <c r="O33" i="4" s="1"/>
  <c r="J361" i="1"/>
  <c r="I431" i="1"/>
  <c r="L565" i="1"/>
  <c r="O565" i="1" s="1"/>
  <c r="I346" i="1"/>
  <c r="K346" i="1" s="1"/>
  <c r="I368" i="1"/>
  <c r="I427" i="1"/>
  <c r="I625" i="1"/>
  <c r="N258" i="1"/>
  <c r="I350" i="1"/>
  <c r="J362" i="1"/>
  <c r="J372" i="1"/>
  <c r="J376" i="1"/>
  <c r="N384" i="1"/>
  <c r="N461" i="1"/>
  <c r="J466" i="1"/>
  <c r="J470" i="1"/>
  <c r="J474" i="1"/>
  <c r="J482" i="1"/>
  <c r="J490" i="1"/>
  <c r="J502" i="1"/>
  <c r="J510" i="1"/>
  <c r="J518" i="1"/>
  <c r="J522" i="1"/>
  <c r="J526" i="1"/>
  <c r="J530" i="1"/>
  <c r="N533" i="1"/>
  <c r="N554" i="1"/>
  <c r="J560" i="1"/>
  <c r="N565" i="1"/>
  <c r="J576" i="1"/>
  <c r="N583" i="1"/>
  <c r="N600" i="1"/>
  <c r="J608" i="1"/>
  <c r="J617" i="1"/>
  <c r="J621" i="1"/>
  <c r="J625" i="1"/>
  <c r="J634" i="1"/>
  <c r="N33" i="4"/>
  <c r="N13" i="4" s="1"/>
  <c r="N34" i="4"/>
  <c r="N14" i="4" s="1"/>
  <c r="L436" i="1"/>
  <c r="O436" i="1" s="1"/>
  <c r="I507" i="1"/>
  <c r="K507" i="1" s="1"/>
  <c r="J341" i="1"/>
  <c r="J391" i="1"/>
  <c r="I419" i="1"/>
  <c r="I621" i="1"/>
  <c r="I373" i="1"/>
  <c r="K373" i="1" s="1"/>
  <c r="J189" i="1"/>
  <c r="I244" i="1"/>
  <c r="K244" i="1" s="1"/>
  <c r="I266" i="1"/>
  <c r="P314" i="2"/>
  <c r="J342" i="1"/>
  <c r="J350" i="1"/>
  <c r="N354" i="1"/>
  <c r="J363" i="1"/>
  <c r="I381" i="1"/>
  <c r="J393" i="1"/>
  <c r="J399" i="1"/>
  <c r="I432" i="1"/>
  <c r="N440" i="1"/>
  <c r="J453" i="1"/>
  <c r="N462" i="1"/>
  <c r="I467" i="1"/>
  <c r="K467" i="1" s="1"/>
  <c r="I479" i="1"/>
  <c r="K479" i="1" s="1"/>
  <c r="I531" i="1"/>
  <c r="N538" i="1"/>
  <c r="N122" i="1"/>
  <c r="I372" i="1"/>
  <c r="K372" i="1" s="1"/>
  <c r="I423" i="1"/>
  <c r="I511" i="1"/>
  <c r="K511" i="1" s="1"/>
  <c r="L534" i="1"/>
  <c r="O534" i="1" s="1"/>
  <c r="K117" i="2"/>
  <c r="L122" i="2"/>
  <c r="O122" i="2" s="1"/>
  <c r="J211" i="1"/>
  <c r="N318" i="1"/>
  <c r="N443" i="1"/>
  <c r="J455" i="1"/>
  <c r="J472" i="1"/>
  <c r="K499" i="6"/>
  <c r="K465" i="7"/>
  <c r="P98" i="14"/>
  <c r="M96" i="14"/>
  <c r="M94" i="14" s="1"/>
  <c r="P94" i="14" s="1"/>
  <c r="I108" i="1"/>
  <c r="J129" i="1"/>
  <c r="N349" i="1"/>
  <c r="L406" i="1"/>
  <c r="J414" i="1"/>
  <c r="I634" i="1"/>
  <c r="M314" i="1"/>
  <c r="L555" i="1"/>
  <c r="M57" i="1"/>
  <c r="M55" i="1" s="1"/>
  <c r="M53" i="1" s="1"/>
  <c r="J78" i="1"/>
  <c r="I267" i="1"/>
  <c r="K267" i="1" s="1"/>
  <c r="J324" i="1"/>
  <c r="J339" i="1"/>
  <c r="J433" i="1"/>
  <c r="I464" i="1"/>
  <c r="K416" i="13"/>
  <c r="K420" i="13"/>
  <c r="K428" i="13"/>
  <c r="K432" i="13"/>
  <c r="K499" i="13"/>
  <c r="O566" i="13"/>
  <c r="O597" i="13"/>
  <c r="O568" i="14"/>
  <c r="K108" i="15"/>
  <c r="K112" i="15"/>
  <c r="K591" i="15"/>
  <c r="K634" i="16"/>
  <c r="K64" i="17"/>
  <c r="O455" i="17"/>
  <c r="O347" i="18"/>
  <c r="K81" i="19"/>
  <c r="K85" i="19"/>
  <c r="L254" i="19"/>
  <c r="O254" i="19" s="1"/>
  <c r="J287" i="1"/>
  <c r="N294" i="1"/>
  <c r="J303" i="1"/>
  <c r="L314" i="2"/>
  <c r="O314" i="2" s="1"/>
  <c r="K324" i="2"/>
  <c r="J373" i="1"/>
  <c r="J377" i="1"/>
  <c r="J400" i="1"/>
  <c r="L597" i="1"/>
  <c r="K64" i="3"/>
  <c r="I524" i="1"/>
  <c r="O535" i="3"/>
  <c r="K591" i="3"/>
  <c r="K628" i="3"/>
  <c r="K632" i="3"/>
  <c r="N126" i="1"/>
  <c r="J159" i="1"/>
  <c r="J170" i="1"/>
  <c r="P224" i="4"/>
  <c r="J245" i="1"/>
  <c r="J285" i="1"/>
  <c r="J424" i="1"/>
  <c r="J428" i="1"/>
  <c r="J467" i="1"/>
  <c r="J471" i="1"/>
  <c r="J475" i="1"/>
  <c r="J479" i="1"/>
  <c r="O601" i="5"/>
  <c r="K631" i="5"/>
  <c r="K635" i="5"/>
  <c r="O102" i="6"/>
  <c r="K109" i="6"/>
  <c r="K304" i="6"/>
  <c r="K464" i="6"/>
  <c r="J511" i="1"/>
  <c r="J515" i="1"/>
  <c r="J527" i="1"/>
  <c r="N534" i="1"/>
  <c r="N555" i="1"/>
  <c r="J561" i="1"/>
  <c r="J577" i="1"/>
  <c r="N580" i="1"/>
  <c r="N584" i="1"/>
  <c r="J590" i="1"/>
  <c r="J594" i="1"/>
  <c r="J90" i="1"/>
  <c r="J169" i="1"/>
  <c r="J246" i="1"/>
  <c r="K186" i="8"/>
  <c r="O580" i="8"/>
  <c r="K455" i="9"/>
  <c r="P224" i="10"/>
  <c r="N312" i="10"/>
  <c r="N310" i="10" s="1"/>
  <c r="K340" i="11"/>
  <c r="N357" i="1"/>
  <c r="J374" i="1"/>
  <c r="N387" i="1"/>
  <c r="J401" i="1"/>
  <c r="K421" i="11"/>
  <c r="J182" i="1"/>
  <c r="J199" i="1"/>
  <c r="J215" i="1"/>
  <c r="J241" i="1"/>
  <c r="N386" i="1"/>
  <c r="I396" i="1"/>
  <c r="N409" i="1"/>
  <c r="I417" i="1"/>
  <c r="I425" i="1"/>
  <c r="N442" i="1"/>
  <c r="I455" i="1"/>
  <c r="K341" i="20"/>
  <c r="J203" i="1"/>
  <c r="M254" i="1"/>
  <c r="J300" i="1"/>
  <c r="J320" i="1"/>
  <c r="I345" i="1"/>
  <c r="I422" i="1"/>
  <c r="I426" i="1"/>
  <c r="J445" i="1"/>
  <c r="L459" i="1"/>
  <c r="I465" i="1"/>
  <c r="K229" i="12"/>
  <c r="K615" i="12"/>
  <c r="L333" i="13"/>
  <c r="O333" i="13" s="1"/>
  <c r="K368" i="15"/>
  <c r="K398" i="15"/>
  <c r="K612" i="15"/>
  <c r="N273" i="16"/>
  <c r="N271" i="16" s="1"/>
  <c r="K265" i="17"/>
  <c r="K340" i="18"/>
  <c r="K380" i="18"/>
  <c r="O383" i="18"/>
  <c r="L45" i="20"/>
  <c r="O45" i="20" s="1"/>
  <c r="K402" i="21"/>
  <c r="O406" i="21"/>
  <c r="K533" i="21"/>
  <c r="J282" i="1"/>
  <c r="J289" i="1"/>
  <c r="J304" i="1"/>
  <c r="N602" i="1"/>
  <c r="I611" i="1"/>
  <c r="I632" i="1"/>
  <c r="L99" i="1"/>
  <c r="I521" i="1"/>
  <c r="I525" i="1"/>
  <c r="I529" i="1"/>
  <c r="J543" i="1"/>
  <c r="J549" i="1"/>
  <c r="N292" i="7"/>
  <c r="N290" i="7" s="1"/>
  <c r="N331" i="8"/>
  <c r="N329" i="8" s="1"/>
  <c r="K132" i="11"/>
  <c r="K164" i="11"/>
  <c r="K185" i="11"/>
  <c r="K349" i="12"/>
  <c r="O352" i="12"/>
  <c r="K425" i="12"/>
  <c r="O597" i="14"/>
  <c r="L57" i="15"/>
  <c r="O57" i="15" s="1"/>
  <c r="K85" i="15"/>
  <c r="N292" i="16"/>
  <c r="N290" i="16" s="1"/>
  <c r="K375" i="2"/>
  <c r="K397" i="2"/>
  <c r="K418" i="2"/>
  <c r="K422" i="2"/>
  <c r="L564" i="1"/>
  <c r="N586" i="1"/>
  <c r="J591" i="1"/>
  <c r="J595" i="1"/>
  <c r="J615" i="1"/>
  <c r="J619" i="1"/>
  <c r="J628" i="1"/>
  <c r="N55" i="3"/>
  <c r="N53" i="3" s="1"/>
  <c r="J321" i="1"/>
  <c r="L333" i="3"/>
  <c r="O333" i="3" s="1"/>
  <c r="J469" i="1"/>
  <c r="J489" i="1"/>
  <c r="K422" i="5"/>
  <c r="K426" i="5"/>
  <c r="K430" i="5"/>
  <c r="K201" i="6"/>
  <c r="K200" i="9"/>
  <c r="K270" i="9"/>
  <c r="K199" i="10"/>
  <c r="K340" i="10"/>
  <c r="P224" i="11"/>
  <c r="K423" i="11"/>
  <c r="K466" i="11"/>
  <c r="K482" i="11"/>
  <c r="K580" i="11"/>
  <c r="K589" i="11"/>
  <c r="K164" i="12"/>
  <c r="K533" i="12"/>
  <c r="O564" i="12"/>
  <c r="O568" i="12"/>
  <c r="K629" i="12"/>
  <c r="N312" i="14"/>
  <c r="N310" i="14" s="1"/>
  <c r="L314" i="15"/>
  <c r="O314" i="15" s="1"/>
  <c r="K377" i="15"/>
  <c r="O385" i="15"/>
  <c r="P57" i="16"/>
  <c r="K341" i="16"/>
  <c r="O349" i="16"/>
  <c r="K328" i="18"/>
  <c r="O439" i="18"/>
  <c r="K466" i="18"/>
  <c r="K474" i="18"/>
  <c r="K482" i="18"/>
  <c r="K533" i="18"/>
  <c r="L122" i="19"/>
  <c r="O122" i="19" s="1"/>
  <c r="L314" i="19"/>
  <c r="O314" i="19" s="1"/>
  <c r="K341" i="19"/>
  <c r="L57" i="20"/>
  <c r="L55" i="20" s="1"/>
  <c r="L53" i="20" s="1"/>
  <c r="J501" i="1"/>
  <c r="J505" i="1"/>
  <c r="J509" i="1"/>
  <c r="N536" i="1"/>
  <c r="J544" i="1"/>
  <c r="J550" i="1"/>
  <c r="N553" i="1"/>
  <c r="N559" i="1"/>
  <c r="N564" i="1"/>
  <c r="N568" i="1"/>
  <c r="J575" i="1"/>
  <c r="J579" i="1"/>
  <c r="L582" i="1"/>
  <c r="N587" i="1"/>
  <c r="L599" i="1"/>
  <c r="N604" i="1"/>
  <c r="I612" i="1"/>
  <c r="I616" i="1"/>
  <c r="I624" i="1"/>
  <c r="K629" i="2"/>
  <c r="J84" i="1"/>
  <c r="L144" i="4"/>
  <c r="L142" i="4" s="1"/>
  <c r="L140" i="4" s="1"/>
  <c r="L144" i="5"/>
  <c r="L142" i="5" s="1"/>
  <c r="K621" i="5"/>
  <c r="P98" i="6"/>
  <c r="L45" i="7"/>
  <c r="L43" i="7" s="1"/>
  <c r="K82" i="9"/>
  <c r="K589" i="13"/>
  <c r="K616" i="14"/>
  <c r="M312" i="17"/>
  <c r="P312" i="17" s="1"/>
  <c r="N120" i="20"/>
  <c r="N118" i="20" s="1"/>
  <c r="O439" i="2"/>
  <c r="J447" i="1"/>
  <c r="N460" i="1"/>
  <c r="I466" i="1"/>
  <c r="I470" i="1"/>
  <c r="K470" i="1" s="1"/>
  <c r="I482" i="1"/>
  <c r="I498" i="1"/>
  <c r="I522" i="1"/>
  <c r="I530" i="1"/>
  <c r="O537" i="2"/>
  <c r="J545" i="1"/>
  <c r="J633" i="1"/>
  <c r="K81" i="3"/>
  <c r="O406" i="5"/>
  <c r="K419" i="5"/>
  <c r="K431" i="5"/>
  <c r="O439" i="5"/>
  <c r="N222" i="6"/>
  <c r="N220" i="6" s="1"/>
  <c r="N252" i="6"/>
  <c r="N250" i="6" s="1"/>
  <c r="N312" i="6"/>
  <c r="N310" i="6" s="1"/>
  <c r="L70" i="7"/>
  <c r="O70" i="7" s="1"/>
  <c r="K108" i="7"/>
  <c r="K229" i="7"/>
  <c r="K265" i="8"/>
  <c r="N292" i="8"/>
  <c r="N290" i="8" s="1"/>
  <c r="K597" i="9"/>
  <c r="K630" i="9"/>
  <c r="K138" i="10"/>
  <c r="N273" i="10"/>
  <c r="N271" i="10" s="1"/>
  <c r="K88" i="11"/>
  <c r="L314" i="11"/>
  <c r="L312" i="11" s="1"/>
  <c r="O312" i="11" s="1"/>
  <c r="L70" i="12"/>
  <c r="O70" i="12" s="1"/>
  <c r="K80" i="12"/>
  <c r="K419" i="12"/>
  <c r="K427" i="12"/>
  <c r="K498" i="12"/>
  <c r="O537" i="12"/>
  <c r="K580" i="12"/>
  <c r="K265" i="14"/>
  <c r="L275" i="14"/>
  <c r="O275" i="14" s="1"/>
  <c r="K285" i="14"/>
  <c r="K430" i="14"/>
  <c r="K435" i="14"/>
  <c r="K219" i="18"/>
  <c r="O582" i="18"/>
  <c r="P57" i="19"/>
  <c r="K84" i="19"/>
  <c r="K176" i="19"/>
  <c r="K186" i="19"/>
  <c r="K416" i="20"/>
  <c r="K420" i="20"/>
  <c r="K424" i="20"/>
  <c r="L57" i="21"/>
  <c r="O57" i="21" s="1"/>
  <c r="K370" i="21"/>
  <c r="I468" i="1"/>
  <c r="K468" i="1" s="1"/>
  <c r="I620" i="1"/>
  <c r="K132" i="2"/>
  <c r="I132" i="1"/>
  <c r="J174" i="1"/>
  <c r="J229" i="1"/>
  <c r="J523" i="1"/>
  <c r="K416" i="5"/>
  <c r="J416" i="1"/>
  <c r="K480" i="6"/>
  <c r="I480" i="1"/>
  <c r="K480" i="1" s="1"/>
  <c r="K591" i="2"/>
  <c r="I591" i="1"/>
  <c r="O598" i="2"/>
  <c r="L598" i="1"/>
  <c r="O598" i="1" s="1"/>
  <c r="I615" i="1"/>
  <c r="I619" i="1"/>
  <c r="I623" i="1"/>
  <c r="I628" i="1"/>
  <c r="I65" i="1"/>
  <c r="L352" i="1"/>
  <c r="J370" i="1"/>
  <c r="J396" i="1"/>
  <c r="I185" i="1"/>
  <c r="K185" i="1" s="1"/>
  <c r="I488" i="1"/>
  <c r="K488" i="1" s="1"/>
  <c r="I503" i="1"/>
  <c r="K503" i="1" s="1"/>
  <c r="L581" i="1"/>
  <c r="O581" i="1" s="1"/>
  <c r="J133" i="1"/>
  <c r="K575" i="2"/>
  <c r="I575" i="1"/>
  <c r="K575" i="1" s="1"/>
  <c r="L70" i="3"/>
  <c r="O70" i="3" s="1"/>
  <c r="K84" i="3"/>
  <c r="I84" i="1"/>
  <c r="K493" i="3"/>
  <c r="I493" i="1"/>
  <c r="K493" i="1" s="1"/>
  <c r="K501" i="3"/>
  <c r="I501" i="1"/>
  <c r="K501" i="1" s="1"/>
  <c r="K509" i="3"/>
  <c r="I509" i="1"/>
  <c r="K509" i="1" s="1"/>
  <c r="K491" i="5"/>
  <c r="I491" i="1"/>
  <c r="K491" i="1" s="1"/>
  <c r="L353" i="1"/>
  <c r="O353" i="1" s="1"/>
  <c r="J232" i="1"/>
  <c r="K596" i="2"/>
  <c r="I596" i="1"/>
  <c r="K596" i="1" s="1"/>
  <c r="K633" i="2"/>
  <c r="I633" i="1"/>
  <c r="I341" i="1"/>
  <c r="L349" i="1"/>
  <c r="O349" i="1" s="1"/>
  <c r="J360" i="1"/>
  <c r="J371" i="1"/>
  <c r="N405" i="1"/>
  <c r="J418" i="1"/>
  <c r="O567" i="3"/>
  <c r="L567" i="1"/>
  <c r="O567" i="1" s="1"/>
  <c r="I487" i="1"/>
  <c r="K487" i="1" s="1"/>
  <c r="I450" i="1"/>
  <c r="K450" i="1" s="1"/>
  <c r="N102" i="1"/>
  <c r="J109" i="1"/>
  <c r="J113" i="1"/>
  <c r="M142" i="2"/>
  <c r="M140" i="2" s="1"/>
  <c r="M144" i="1"/>
  <c r="J154" i="1"/>
  <c r="J172" i="1"/>
  <c r="K514" i="2"/>
  <c r="I514" i="1"/>
  <c r="K514" i="1" s="1"/>
  <c r="K564" i="3"/>
  <c r="I564" i="1"/>
  <c r="K578" i="3"/>
  <c r="I578" i="1"/>
  <c r="K578" i="1" s="1"/>
  <c r="L437" i="1"/>
  <c r="I495" i="1"/>
  <c r="K495" i="1" s="1"/>
  <c r="L277" i="1"/>
  <c r="J301" i="1"/>
  <c r="K368" i="2"/>
  <c r="J79" i="1"/>
  <c r="J244" i="1"/>
  <c r="J266" i="1"/>
  <c r="J201" i="1"/>
  <c r="J218" i="1"/>
  <c r="M224" i="1"/>
  <c r="P224" i="1" s="1"/>
  <c r="J202" i="1"/>
  <c r="J238" i="1"/>
  <c r="O458" i="2"/>
  <c r="L458" i="1"/>
  <c r="O458" i="1" s="1"/>
  <c r="J507" i="1"/>
  <c r="J519" i="1"/>
  <c r="J531" i="1"/>
  <c r="N539" i="1"/>
  <c r="I324" i="1"/>
  <c r="K418" i="4"/>
  <c r="I418" i="1"/>
  <c r="K451" i="4"/>
  <c r="I451" i="1"/>
  <c r="N70" i="1"/>
  <c r="J237" i="1"/>
  <c r="J261" i="1"/>
  <c r="J212" i="1"/>
  <c r="J231" i="1"/>
  <c r="J186" i="1"/>
  <c r="K484" i="2"/>
  <c r="I484" i="1"/>
  <c r="K484" i="1" s="1"/>
  <c r="J503" i="1"/>
  <c r="N551" i="1"/>
  <c r="I88" i="1"/>
  <c r="I213" i="1"/>
  <c r="L382" i="1"/>
  <c r="O382" i="1" s="1"/>
  <c r="L404" i="1"/>
  <c r="I85" i="1"/>
  <c r="J160" i="1"/>
  <c r="J197" i="1"/>
  <c r="J233" i="1"/>
  <c r="I249" i="1"/>
  <c r="I306" i="1"/>
  <c r="J417" i="1"/>
  <c r="J421" i="1"/>
  <c r="J425" i="1"/>
  <c r="J429" i="1"/>
  <c r="N437" i="1"/>
  <c r="K492" i="2"/>
  <c r="I492" i="1"/>
  <c r="K492" i="1" s="1"/>
  <c r="I516" i="1"/>
  <c r="I520" i="1"/>
  <c r="I528" i="1"/>
  <c r="I532" i="1"/>
  <c r="L535" i="1"/>
  <c r="N540" i="1"/>
  <c r="N572" i="1"/>
  <c r="O565" i="4"/>
  <c r="L31" i="4"/>
  <c r="O31" i="4" s="1"/>
  <c r="K576" i="2"/>
  <c r="I576" i="1"/>
  <c r="K576" i="1" s="1"/>
  <c r="N120" i="4"/>
  <c r="N118" i="4" s="1"/>
  <c r="J87" i="1"/>
  <c r="N408" i="1"/>
  <c r="J420" i="1"/>
  <c r="J432" i="1"/>
  <c r="N436" i="1"/>
  <c r="N441" i="1"/>
  <c r="J449" i="1"/>
  <c r="J454" i="1"/>
  <c r="N457" i="1"/>
  <c r="N463" i="1"/>
  <c r="O551" i="2"/>
  <c r="L551" i="1"/>
  <c r="K593" i="2"/>
  <c r="K219" i="3"/>
  <c r="O354" i="3"/>
  <c r="K372" i="3"/>
  <c r="N380" i="1"/>
  <c r="J402" i="1"/>
  <c r="J415" i="1"/>
  <c r="J419" i="1"/>
  <c r="J423" i="1"/>
  <c r="J427" i="1"/>
  <c r="J431" i="1"/>
  <c r="O435" i="3"/>
  <c r="N439" i="1"/>
  <c r="J448" i="1"/>
  <c r="N31" i="3"/>
  <c r="N29" i="3" s="1"/>
  <c r="O582" i="3"/>
  <c r="O385" i="8"/>
  <c r="L34" i="8"/>
  <c r="J204" i="1"/>
  <c r="L226" i="1"/>
  <c r="J234" i="1"/>
  <c r="J284" i="1"/>
  <c r="N298" i="1"/>
  <c r="J344" i="1"/>
  <c r="L401" i="1"/>
  <c r="J412" i="1"/>
  <c r="I481" i="1"/>
  <c r="J492" i="1"/>
  <c r="J500" i="1"/>
  <c r="J130" i="1"/>
  <c r="J249" i="1"/>
  <c r="N273" i="4"/>
  <c r="P273" i="4" s="1"/>
  <c r="L46" i="1"/>
  <c r="J131" i="1"/>
  <c r="L144" i="2"/>
  <c r="O144" i="2" s="1"/>
  <c r="J156" i="1"/>
  <c r="J163" i="1"/>
  <c r="K173" i="2"/>
  <c r="K189" i="2"/>
  <c r="K200" i="2"/>
  <c r="I265" i="1"/>
  <c r="K270" i="2"/>
  <c r="L275" i="2"/>
  <c r="L273" i="2" s="1"/>
  <c r="K285" i="2"/>
  <c r="N383" i="1"/>
  <c r="N389" i="1"/>
  <c r="J481" i="1"/>
  <c r="J485" i="1"/>
  <c r="J578" i="1"/>
  <c r="N585" i="1"/>
  <c r="N601" i="1"/>
  <c r="J610" i="1"/>
  <c r="J614" i="1"/>
  <c r="J618" i="1"/>
  <c r="J622" i="1"/>
  <c r="J626" i="1"/>
  <c r="J631" i="1"/>
  <c r="J635" i="1"/>
  <c r="I93" i="1"/>
  <c r="J117" i="1"/>
  <c r="K173" i="3"/>
  <c r="J184" i="1"/>
  <c r="K189" i="3"/>
  <c r="J209" i="1"/>
  <c r="K401" i="3"/>
  <c r="O404" i="3"/>
  <c r="K421" i="3"/>
  <c r="K425" i="3"/>
  <c r="K429" i="3"/>
  <c r="O437" i="3"/>
  <c r="K635" i="3"/>
  <c r="K173" i="4"/>
  <c r="K189" i="4"/>
  <c r="L254" i="4"/>
  <c r="L252" i="4" s="1"/>
  <c r="K622" i="6"/>
  <c r="K624" i="6"/>
  <c r="P70" i="19"/>
  <c r="M68" i="19"/>
  <c r="M66" i="19" s="1"/>
  <c r="L124" i="1"/>
  <c r="K158" i="3"/>
  <c r="K380" i="3"/>
  <c r="O383" i="3"/>
  <c r="K397" i="3"/>
  <c r="K473" i="3"/>
  <c r="N96" i="4"/>
  <c r="N94" i="4" s="1"/>
  <c r="K132" i="4"/>
  <c r="K164" i="4"/>
  <c r="K270" i="4"/>
  <c r="K219" i="6"/>
  <c r="K345" i="4"/>
  <c r="K617" i="4"/>
  <c r="K377" i="5"/>
  <c r="K381" i="5"/>
  <c r="O385" i="5"/>
  <c r="L275" i="11"/>
  <c r="L273" i="11" s="1"/>
  <c r="L271" i="11" s="1"/>
  <c r="L333" i="11"/>
  <c r="O333" i="11" s="1"/>
  <c r="K380" i="11"/>
  <c r="K397" i="11"/>
  <c r="K418" i="11"/>
  <c r="K235" i="12"/>
  <c r="K431" i="12"/>
  <c r="O435" i="12"/>
  <c r="K466" i="12"/>
  <c r="O455" i="13"/>
  <c r="K421" i="14"/>
  <c r="K425" i="14"/>
  <c r="K266" i="15"/>
  <c r="N96" i="16"/>
  <c r="N94" i="16" s="1"/>
  <c r="K424" i="16"/>
  <c r="K186" i="17"/>
  <c r="K219" i="17"/>
  <c r="P224" i="17"/>
  <c r="O404" i="17"/>
  <c r="O437" i="17"/>
  <c r="K634" i="17"/>
  <c r="O537" i="18"/>
  <c r="O352" i="20"/>
  <c r="K370" i="20"/>
  <c r="O568" i="20"/>
  <c r="O406" i="4"/>
  <c r="K423" i="4"/>
  <c r="K427" i="4"/>
  <c r="K466" i="4"/>
  <c r="L294" i="5"/>
  <c r="O294" i="5" s="1"/>
  <c r="O533" i="5"/>
  <c r="K630" i="5"/>
  <c r="K634" i="5"/>
  <c r="K368" i="6"/>
  <c r="O459" i="6"/>
  <c r="K465" i="6"/>
  <c r="K497" i="6"/>
  <c r="O535" i="6"/>
  <c r="N331" i="7"/>
  <c r="N329" i="7" s="1"/>
  <c r="K375" i="7"/>
  <c r="O383" i="7"/>
  <c r="K397" i="7"/>
  <c r="O401" i="7"/>
  <c r="K426" i="7"/>
  <c r="K473" i="7"/>
  <c r="O580" i="7"/>
  <c r="O584" i="7"/>
  <c r="K564" i="8"/>
  <c r="K435" i="10"/>
  <c r="M292" i="14"/>
  <c r="P292" i="14" s="1"/>
  <c r="K421" i="16"/>
  <c r="K349" i="18"/>
  <c r="P224" i="19"/>
  <c r="O349" i="19"/>
  <c r="K426" i="19"/>
  <c r="K117" i="20"/>
  <c r="K466" i="21"/>
  <c r="K474" i="21"/>
  <c r="K482" i="21"/>
  <c r="M96" i="8"/>
  <c r="P96" i="8" s="1"/>
  <c r="K464" i="8"/>
  <c r="K109" i="9"/>
  <c r="K199" i="9"/>
  <c r="O437" i="9"/>
  <c r="K173" i="10"/>
  <c r="K200" i="10"/>
  <c r="K229" i="10"/>
  <c r="K176" i="11"/>
  <c r="K186" i="11"/>
  <c r="N312" i="11"/>
  <c r="N310" i="11" s="1"/>
  <c r="K376" i="11"/>
  <c r="O380" i="11"/>
  <c r="K64" i="12"/>
  <c r="N292" i="12"/>
  <c r="N290" i="12" s="1"/>
  <c r="K432" i="12"/>
  <c r="K112" i="13"/>
  <c r="K176" i="13"/>
  <c r="K186" i="13"/>
  <c r="N252" i="13"/>
  <c r="N250" i="13" s="1"/>
  <c r="L294" i="13"/>
  <c r="O294" i="13" s="1"/>
  <c r="K402" i="13"/>
  <c r="K431" i="13"/>
  <c r="O439" i="13"/>
  <c r="K466" i="13"/>
  <c r="K630" i="13"/>
  <c r="K634" i="13"/>
  <c r="K149" i="14"/>
  <c r="K380" i="14"/>
  <c r="K372" i="15"/>
  <c r="O383" i="15"/>
  <c r="K422" i="15"/>
  <c r="K435" i="15"/>
  <c r="O455" i="15"/>
  <c r="O459" i="15"/>
  <c r="K345" i="17"/>
  <c r="N120" i="18"/>
  <c r="N118" i="18" s="1"/>
  <c r="K450" i="20"/>
  <c r="K455" i="20"/>
  <c r="K350" i="21"/>
  <c r="K396" i="5"/>
  <c r="K401" i="5"/>
  <c r="K264" i="6"/>
  <c r="K398" i="6"/>
  <c r="K466" i="6"/>
  <c r="K482" i="6"/>
  <c r="N312" i="7"/>
  <c r="N310" i="7" s="1"/>
  <c r="K419" i="7"/>
  <c r="K423" i="7"/>
  <c r="K431" i="7"/>
  <c r="O435" i="7"/>
  <c r="O439" i="7"/>
  <c r="K497" i="7"/>
  <c r="O535" i="7"/>
  <c r="K595" i="7"/>
  <c r="O568" i="8"/>
  <c r="K573" i="9"/>
  <c r="O601" i="9"/>
  <c r="N43" i="10"/>
  <c r="N41" i="10" s="1"/>
  <c r="O435" i="10"/>
  <c r="O439" i="10"/>
  <c r="K466" i="10"/>
  <c r="N252" i="11"/>
  <c r="N250" i="11" s="1"/>
  <c r="N55" i="13"/>
  <c r="P55" i="13" s="1"/>
  <c r="M120" i="14"/>
  <c r="P120" i="14" s="1"/>
  <c r="K111" i="15"/>
  <c r="P45" i="16"/>
  <c r="O349" i="18"/>
  <c r="O354" i="19"/>
  <c r="K88" i="20"/>
  <c r="L98" i="20"/>
  <c r="O98" i="20" s="1"/>
  <c r="N55" i="21"/>
  <c r="N53" i="21" s="1"/>
  <c r="K229" i="21"/>
  <c r="K381" i="21"/>
  <c r="K597" i="4"/>
  <c r="K630" i="4"/>
  <c r="K173" i="5"/>
  <c r="K200" i="5"/>
  <c r="O352" i="5"/>
  <c r="K425" i="5"/>
  <c r="O457" i="6"/>
  <c r="K560" i="6"/>
  <c r="K580" i="6"/>
  <c r="K589" i="6"/>
  <c r="O354" i="7"/>
  <c r="K533" i="7"/>
  <c r="K629" i="7"/>
  <c r="L254" i="11"/>
  <c r="O254" i="11" s="1"/>
  <c r="L98" i="12"/>
  <c r="L96" i="12" s="1"/>
  <c r="O96" i="12" s="1"/>
  <c r="K396" i="12"/>
  <c r="O102" i="13"/>
  <c r="K109" i="13"/>
  <c r="K113" i="13"/>
  <c r="K199" i="13"/>
  <c r="K199" i="14"/>
  <c r="K343" i="15"/>
  <c r="O347" i="15"/>
  <c r="K423" i="15"/>
  <c r="K427" i="15"/>
  <c r="O597" i="16"/>
  <c r="L275" i="17"/>
  <c r="O275" i="17" s="1"/>
  <c r="O459" i="20"/>
  <c r="K533" i="20"/>
  <c r="K185" i="21"/>
  <c r="L314" i="21"/>
  <c r="L312" i="21" s="1"/>
  <c r="K417" i="21"/>
  <c r="K425" i="4"/>
  <c r="K429" i="4"/>
  <c r="M22" i="5"/>
  <c r="M12" i="5" s="1"/>
  <c r="N34" i="6"/>
  <c r="N14" i="6" s="1"/>
  <c r="K64" i="9"/>
  <c r="K498" i="9"/>
  <c r="K424" i="10"/>
  <c r="N31" i="10"/>
  <c r="N29" i="10" s="1"/>
  <c r="L294" i="14"/>
  <c r="O294" i="14" s="1"/>
  <c r="O385" i="14"/>
  <c r="K432" i="14"/>
  <c r="O459" i="16"/>
  <c r="K173" i="17"/>
  <c r="K498" i="18"/>
  <c r="O385" i="19"/>
  <c r="K449" i="19"/>
  <c r="O352" i="21"/>
  <c r="K328" i="4"/>
  <c r="K340" i="4"/>
  <c r="N68" i="5"/>
  <c r="N66" i="5" s="1"/>
  <c r="L122" i="5"/>
  <c r="O122" i="5" s="1"/>
  <c r="L275" i="6"/>
  <c r="O275" i="6" s="1"/>
  <c r="K306" i="6"/>
  <c r="O555" i="6"/>
  <c r="O580" i="6"/>
  <c r="O584" i="6"/>
  <c r="O601" i="6"/>
  <c r="K173" i="7"/>
  <c r="K189" i="7"/>
  <c r="K200" i="7"/>
  <c r="K343" i="7"/>
  <c r="O457" i="7"/>
  <c r="K589" i="7"/>
  <c r="K229" i="8"/>
  <c r="L314" i="8"/>
  <c r="O314" i="8" s="1"/>
  <c r="O354" i="8"/>
  <c r="O435" i="8"/>
  <c r="K634" i="8"/>
  <c r="K65" i="9"/>
  <c r="P70" i="9"/>
  <c r="K93" i="9"/>
  <c r="K629" i="9"/>
  <c r="L314" i="10"/>
  <c r="O314" i="10" s="1"/>
  <c r="K547" i="10"/>
  <c r="O597" i="10"/>
  <c r="K631" i="10"/>
  <c r="K200" i="11"/>
  <c r="K401" i="11"/>
  <c r="O404" i="11"/>
  <c r="O601" i="11"/>
  <c r="K635" i="11"/>
  <c r="K149" i="12"/>
  <c r="L254" i="12"/>
  <c r="O254" i="12" s="1"/>
  <c r="K481" i="12"/>
  <c r="O535" i="12"/>
  <c r="K173" i="13"/>
  <c r="K229" i="13"/>
  <c r="K341" i="13"/>
  <c r="K349" i="13"/>
  <c r="O352" i="13"/>
  <c r="K617" i="13"/>
  <c r="K349" i="14"/>
  <c r="L32" i="14"/>
  <c r="L30" i="14" s="1"/>
  <c r="K630" i="14"/>
  <c r="K113" i="15"/>
  <c r="K219" i="15"/>
  <c r="K370" i="15"/>
  <c r="K173" i="16"/>
  <c r="K200" i="16"/>
  <c r="O49" i="17"/>
  <c r="N120" i="17"/>
  <c r="N118" i="17" s="1"/>
  <c r="K164" i="17"/>
  <c r="O385" i="17"/>
  <c r="K428" i="17"/>
  <c r="K432" i="17"/>
  <c r="P254" i="18"/>
  <c r="N312" i="18"/>
  <c r="N310" i="18" s="1"/>
  <c r="K449" i="18"/>
  <c r="O533" i="18"/>
  <c r="O599" i="18"/>
  <c r="K629" i="18"/>
  <c r="K64" i="19"/>
  <c r="K349" i="19"/>
  <c r="K635" i="19"/>
  <c r="O347" i="20"/>
  <c r="O406" i="20"/>
  <c r="K498" i="20"/>
  <c r="O533" i="20"/>
  <c r="O564" i="20"/>
  <c r="K249" i="21"/>
  <c r="K375" i="21"/>
  <c r="K380" i="21"/>
  <c r="O535" i="21"/>
  <c r="K564" i="21"/>
  <c r="I64" i="1"/>
  <c r="I92" i="1"/>
  <c r="M98" i="1"/>
  <c r="I113" i="1"/>
  <c r="M122" i="1"/>
  <c r="L145" i="1"/>
  <c r="I471" i="1"/>
  <c r="K471" i="1" s="1"/>
  <c r="I512" i="1"/>
  <c r="K512" i="1" s="1"/>
  <c r="J164" i="1"/>
  <c r="N331" i="2"/>
  <c r="N329" i="2" s="1"/>
  <c r="K479" i="2"/>
  <c r="O582" i="2"/>
  <c r="N120" i="3"/>
  <c r="N118" i="3" s="1"/>
  <c r="K270" i="3"/>
  <c r="L275" i="3"/>
  <c r="O275" i="3" s="1"/>
  <c r="K285" i="3"/>
  <c r="K324" i="3"/>
  <c r="J381" i="1"/>
  <c r="N385" i="1"/>
  <c r="J394" i="1"/>
  <c r="J506" i="1"/>
  <c r="J596" i="1"/>
  <c r="N605" i="1"/>
  <c r="J612" i="1"/>
  <c r="J620" i="1"/>
  <c r="J624" i="1"/>
  <c r="K633" i="3"/>
  <c r="N61" i="1"/>
  <c r="M68" i="4"/>
  <c r="P68" i="4" s="1"/>
  <c r="M292" i="4"/>
  <c r="P292" i="4" s="1"/>
  <c r="K614" i="4"/>
  <c r="K618" i="4"/>
  <c r="K450" i="5"/>
  <c r="K455" i="5"/>
  <c r="P294" i="6"/>
  <c r="O437" i="7"/>
  <c r="N33" i="7"/>
  <c r="N13" i="7" s="1"/>
  <c r="O566" i="8"/>
  <c r="J283" i="1"/>
  <c r="I238" i="1"/>
  <c r="K238" i="1" s="1"/>
  <c r="L337" i="1"/>
  <c r="J368" i="1"/>
  <c r="I485" i="1"/>
  <c r="K485" i="1" s="1"/>
  <c r="I508" i="1"/>
  <c r="K508" i="1" s="1"/>
  <c r="K133" i="2"/>
  <c r="L32" i="3"/>
  <c r="L30" i="3" s="1"/>
  <c r="J115" i="1"/>
  <c r="M120" i="3"/>
  <c r="P120" i="3" s="1"/>
  <c r="J236" i="1"/>
  <c r="N351" i="1"/>
  <c r="N356" i="1"/>
  <c r="I370" i="1"/>
  <c r="I374" i="1"/>
  <c r="J378" i="1"/>
  <c r="I499" i="1"/>
  <c r="O537" i="3"/>
  <c r="J397" i="1"/>
  <c r="N401" i="1"/>
  <c r="L224" i="6"/>
  <c r="O224" i="6" s="1"/>
  <c r="K249" i="6"/>
  <c r="L254" i="6"/>
  <c r="O254" i="6" s="1"/>
  <c r="K629" i="6"/>
  <c r="P45" i="7"/>
  <c r="K109" i="7"/>
  <c r="K113" i="7"/>
  <c r="K341" i="7"/>
  <c r="K345" i="7"/>
  <c r="L148" i="1"/>
  <c r="O148" i="1" s="1"/>
  <c r="L255" i="1"/>
  <c r="I304" i="1"/>
  <c r="I504" i="1"/>
  <c r="K504" i="1" s="1"/>
  <c r="N26" i="2"/>
  <c r="N16" i="2" s="1"/>
  <c r="P294" i="2"/>
  <c r="N312" i="2"/>
  <c r="P312" i="2" s="1"/>
  <c r="K435" i="2"/>
  <c r="K451" i="2"/>
  <c r="K473" i="2"/>
  <c r="I111" i="1"/>
  <c r="K340" i="3"/>
  <c r="I349" i="1"/>
  <c r="O352" i="3"/>
  <c r="K464" i="3"/>
  <c r="J487" i="1"/>
  <c r="J491" i="1"/>
  <c r="J495" i="1"/>
  <c r="N571" i="1"/>
  <c r="J589" i="1"/>
  <c r="J263" i="1"/>
  <c r="N388" i="1"/>
  <c r="N404" i="1"/>
  <c r="N410" i="1"/>
  <c r="K421" i="4"/>
  <c r="K464" i="4"/>
  <c r="J483" i="1"/>
  <c r="N582" i="1"/>
  <c r="N598" i="1"/>
  <c r="N603" i="1"/>
  <c r="K611" i="4"/>
  <c r="K65" i="5"/>
  <c r="P314" i="5"/>
  <c r="J323" i="1"/>
  <c r="K113" i="6"/>
  <c r="J308" i="1"/>
  <c r="K564" i="7"/>
  <c r="K573" i="7"/>
  <c r="K591" i="7"/>
  <c r="K328" i="8"/>
  <c r="K547" i="3"/>
  <c r="O566" i="3"/>
  <c r="L45" i="4"/>
  <c r="L43" i="4" s="1"/>
  <c r="L41" i="4" s="1"/>
  <c r="J242" i="1"/>
  <c r="O383" i="4"/>
  <c r="O533" i="4"/>
  <c r="M26" i="5"/>
  <c r="M16" i="5" s="1"/>
  <c r="L314" i="5"/>
  <c r="L312" i="5" s="1"/>
  <c r="L24" i="6"/>
  <c r="O24" i="6" s="1"/>
  <c r="K593" i="6"/>
  <c r="K85" i="9"/>
  <c r="O352" i="9"/>
  <c r="L74" i="1"/>
  <c r="I109" i="1"/>
  <c r="I494" i="1"/>
  <c r="K494" i="1" s="1"/>
  <c r="M96" i="2"/>
  <c r="P96" i="2" s="1"/>
  <c r="K372" i="2"/>
  <c r="K427" i="2"/>
  <c r="K630" i="2"/>
  <c r="N49" i="1"/>
  <c r="J65" i="1"/>
  <c r="I80" i="1"/>
  <c r="J83" i="1"/>
  <c r="K108" i="3"/>
  <c r="I215" i="1"/>
  <c r="J302" i="1"/>
  <c r="N312" i="3"/>
  <c r="N310" i="3" s="1"/>
  <c r="K345" i="3"/>
  <c r="N459" i="1"/>
  <c r="J465" i="1"/>
  <c r="N556" i="1"/>
  <c r="K618" i="3"/>
  <c r="K133" i="4"/>
  <c r="N228" i="1"/>
  <c r="J235" i="1"/>
  <c r="O455" i="4"/>
  <c r="N292" i="5"/>
  <c r="N290" i="5" s="1"/>
  <c r="J85" i="1"/>
  <c r="L49" i="1"/>
  <c r="I158" i="1"/>
  <c r="J173" i="1"/>
  <c r="L384" i="1"/>
  <c r="O384" i="1" s="1"/>
  <c r="I475" i="1"/>
  <c r="K475" i="1" s="1"/>
  <c r="K219" i="2"/>
  <c r="K304" i="2"/>
  <c r="K343" i="2"/>
  <c r="O347" i="2"/>
  <c r="L31" i="2"/>
  <c r="O31" i="2" s="1"/>
  <c r="K416" i="2"/>
  <c r="K420" i="2"/>
  <c r="K424" i="2"/>
  <c r="K428" i="2"/>
  <c r="K470" i="2"/>
  <c r="O601" i="2"/>
  <c r="K631" i="2"/>
  <c r="L122" i="3"/>
  <c r="O122" i="3" s="1"/>
  <c r="L146" i="1"/>
  <c r="J157" i="1"/>
  <c r="K164" i="3"/>
  <c r="J188" i="1"/>
  <c r="N292" i="3"/>
  <c r="N290" i="3" s="1"/>
  <c r="P314" i="3"/>
  <c r="O380" i="3"/>
  <c r="K398" i="3"/>
  <c r="K419" i="3"/>
  <c r="K423" i="3"/>
  <c r="K427" i="3"/>
  <c r="L31" i="3"/>
  <c r="L11" i="3" s="1"/>
  <c r="L9" i="3" s="1"/>
  <c r="K466" i="3"/>
  <c r="K474" i="3"/>
  <c r="N148" i="1"/>
  <c r="J196" i="1"/>
  <c r="N355" i="1"/>
  <c r="J364" i="1"/>
  <c r="J369" i="1"/>
  <c r="K481" i="4"/>
  <c r="M292" i="5"/>
  <c r="P292" i="5" s="1"/>
  <c r="K498" i="5"/>
  <c r="O564" i="5"/>
  <c r="N32" i="6"/>
  <c r="N30" i="6" s="1"/>
  <c r="O551" i="6"/>
  <c r="K235" i="8"/>
  <c r="J89" i="1"/>
  <c r="J104" i="1"/>
  <c r="J128" i="1"/>
  <c r="J134" i="1"/>
  <c r="K149" i="4"/>
  <c r="K219" i="4"/>
  <c r="J343" i="1"/>
  <c r="O347" i="4"/>
  <c r="N31" i="4"/>
  <c r="N29" i="4" s="1"/>
  <c r="O535" i="4"/>
  <c r="K149" i="5"/>
  <c r="K219" i="5"/>
  <c r="L224" i="5"/>
  <c r="O224" i="5" s="1"/>
  <c r="K249" i="5"/>
  <c r="M22" i="6"/>
  <c r="M12" i="6" s="1"/>
  <c r="K345" i="6"/>
  <c r="O383" i="6"/>
  <c r="K397" i="6"/>
  <c r="O401" i="6"/>
  <c r="K418" i="6"/>
  <c r="K426" i="6"/>
  <c r="O455" i="6"/>
  <c r="J484" i="1"/>
  <c r="K88" i="8"/>
  <c r="K132" i="8"/>
  <c r="J268" i="1"/>
  <c r="I342" i="1"/>
  <c r="K342" i="1" s="1"/>
  <c r="L439" i="1"/>
  <c r="I502" i="1"/>
  <c r="K502" i="1" s="1"/>
  <c r="N96" i="2"/>
  <c r="N94" i="2" s="1"/>
  <c r="J107" i="1"/>
  <c r="J111" i="1"/>
  <c r="N273" i="2"/>
  <c r="N271" i="2" s="1"/>
  <c r="K498" i="2"/>
  <c r="I133" i="1"/>
  <c r="K235" i="3"/>
  <c r="J264" i="1"/>
  <c r="L314" i="3"/>
  <c r="L312" i="3" s="1"/>
  <c r="O337" i="3"/>
  <c r="I424" i="1"/>
  <c r="I428" i="1"/>
  <c r="J513" i="1"/>
  <c r="J517" i="1"/>
  <c r="J521" i="1"/>
  <c r="J525" i="1"/>
  <c r="J529" i="1"/>
  <c r="J533" i="1"/>
  <c r="J81" i="1"/>
  <c r="L276" i="1"/>
  <c r="I285" i="1"/>
  <c r="J306" i="1"/>
  <c r="L32" i="4"/>
  <c r="L30" i="4" s="1"/>
  <c r="K449" i="4"/>
  <c r="O457" i="4"/>
  <c r="K564" i="4"/>
  <c r="K64" i="5"/>
  <c r="P70" i="5"/>
  <c r="M96" i="5"/>
  <c r="M94" i="5" s="1"/>
  <c r="K199" i="5"/>
  <c r="N32" i="5"/>
  <c r="N30" i="5" s="1"/>
  <c r="J375" i="1"/>
  <c r="J380" i="1"/>
  <c r="P314" i="13"/>
  <c r="M312" i="13"/>
  <c r="P312" i="13" s="1"/>
  <c r="M55" i="15"/>
  <c r="M53" i="15" s="1"/>
  <c r="P57" i="15"/>
  <c r="K235" i="17"/>
  <c r="L553" i="1"/>
  <c r="N558" i="1"/>
  <c r="L100" i="1"/>
  <c r="J108" i="1"/>
  <c r="K185" i="8"/>
  <c r="K345" i="8"/>
  <c r="K426" i="8"/>
  <c r="O455" i="8"/>
  <c r="J477" i="1"/>
  <c r="J488" i="1"/>
  <c r="J216" i="1"/>
  <c r="I229" i="1"/>
  <c r="J422" i="1"/>
  <c r="J426" i="1"/>
  <c r="J430" i="1"/>
  <c r="J435" i="1"/>
  <c r="N438" i="1"/>
  <c r="J446" i="1"/>
  <c r="J451" i="1"/>
  <c r="L455" i="1"/>
  <c r="K620" i="10"/>
  <c r="P337" i="12"/>
  <c r="M26" i="12"/>
  <c r="M16" i="12" s="1"/>
  <c r="O459" i="12"/>
  <c r="N34" i="12"/>
  <c r="N14" i="12" s="1"/>
  <c r="P70" i="16"/>
  <c r="M68" i="16"/>
  <c r="M66" i="16" s="1"/>
  <c r="P66" i="16" s="1"/>
  <c r="K369" i="19"/>
  <c r="I367" i="19"/>
  <c r="K367" i="19" s="1"/>
  <c r="O459" i="5"/>
  <c r="K173" i="6"/>
  <c r="K200" i="6"/>
  <c r="K235" i="6"/>
  <c r="L314" i="6"/>
  <c r="O314" i="6" s="1"/>
  <c r="K350" i="6"/>
  <c r="O380" i="6"/>
  <c r="K402" i="6"/>
  <c r="O406" i="6"/>
  <c r="K419" i="6"/>
  <c r="K423" i="6"/>
  <c r="K431" i="6"/>
  <c r="K473" i="6"/>
  <c r="K481" i="6"/>
  <c r="K630" i="6"/>
  <c r="K634" i="6"/>
  <c r="K92" i="7"/>
  <c r="K110" i="7"/>
  <c r="O337" i="7"/>
  <c r="O349" i="7"/>
  <c r="K435" i="7"/>
  <c r="K499" i="7"/>
  <c r="O564" i="7"/>
  <c r="K176" i="8"/>
  <c r="L294" i="8"/>
  <c r="O294" i="8" s="1"/>
  <c r="K376" i="8"/>
  <c r="O380" i="8"/>
  <c r="K398" i="8"/>
  <c r="K474" i="8"/>
  <c r="K481" i="8"/>
  <c r="K573" i="8"/>
  <c r="K635" i="8"/>
  <c r="L57" i="9"/>
  <c r="O57" i="9" s="1"/>
  <c r="K111" i="9"/>
  <c r="K164" i="9"/>
  <c r="K402" i="9"/>
  <c r="O406" i="9"/>
  <c r="K419" i="9"/>
  <c r="K427" i="9"/>
  <c r="K431" i="9"/>
  <c r="O439" i="9"/>
  <c r="O459" i="9"/>
  <c r="K64" i="10"/>
  <c r="K270" i="10"/>
  <c r="P333" i="10"/>
  <c r="K343" i="10"/>
  <c r="K381" i="10"/>
  <c r="O385" i="10"/>
  <c r="O406" i="10"/>
  <c r="O455" i="10"/>
  <c r="K499" i="10"/>
  <c r="K597" i="10"/>
  <c r="L45" i="11"/>
  <c r="O45" i="11" s="1"/>
  <c r="K112" i="11"/>
  <c r="N33" i="11"/>
  <c r="N13" i="11" s="1"/>
  <c r="L314" i="12"/>
  <c r="L312" i="12" s="1"/>
  <c r="L310" i="12" s="1"/>
  <c r="O310" i="12" s="1"/>
  <c r="M292" i="13"/>
  <c r="P292" i="13" s="1"/>
  <c r="P294" i="13"/>
  <c r="K428" i="16"/>
  <c r="K432" i="16"/>
  <c r="K449" i="16"/>
  <c r="O582" i="16"/>
  <c r="K622" i="16"/>
  <c r="K620" i="16"/>
  <c r="K372" i="18"/>
  <c r="K372" i="20"/>
  <c r="K376" i="20"/>
  <c r="O380" i="20"/>
  <c r="O384" i="20"/>
  <c r="L33" i="20"/>
  <c r="O33" i="20" s="1"/>
  <c r="K402" i="20"/>
  <c r="K419" i="20"/>
  <c r="K473" i="20"/>
  <c r="N120" i="7"/>
  <c r="N118" i="7" s="1"/>
  <c r="N43" i="8"/>
  <c r="N41" i="8" s="1"/>
  <c r="N312" i="9"/>
  <c r="N310" i="9" s="1"/>
  <c r="N96" i="10"/>
  <c r="N94" i="10" s="1"/>
  <c r="N331" i="10"/>
  <c r="N329" i="10" s="1"/>
  <c r="I367" i="5"/>
  <c r="K367" i="5" s="1"/>
  <c r="O566" i="5"/>
  <c r="N96" i="6"/>
  <c r="N94" i="6" s="1"/>
  <c r="K573" i="6"/>
  <c r="L26" i="7"/>
  <c r="L16" i="7" s="1"/>
  <c r="N55" i="7"/>
  <c r="P55" i="7" s="1"/>
  <c r="N68" i="7"/>
  <c r="N66" i="7" s="1"/>
  <c r="N96" i="7"/>
  <c r="N94" i="7" s="1"/>
  <c r="L254" i="7"/>
  <c r="O254" i="7" s="1"/>
  <c r="K350" i="7"/>
  <c r="K481" i="7"/>
  <c r="O599" i="7"/>
  <c r="K219" i="8"/>
  <c r="P224" i="8"/>
  <c r="K350" i="9"/>
  <c r="P70" i="10"/>
  <c r="K164" i="10"/>
  <c r="K185" i="10"/>
  <c r="K285" i="10"/>
  <c r="K416" i="10"/>
  <c r="K432" i="10"/>
  <c r="O580" i="10"/>
  <c r="K621" i="10"/>
  <c r="K81" i="11"/>
  <c r="O459" i="14"/>
  <c r="M312" i="15"/>
  <c r="P312" i="15" s="1"/>
  <c r="P314" i="15"/>
  <c r="L314" i="18"/>
  <c r="O314" i="18" s="1"/>
  <c r="L294" i="19"/>
  <c r="L292" i="19" s="1"/>
  <c r="O292" i="19" s="1"/>
  <c r="K340" i="19"/>
  <c r="K343" i="5"/>
  <c r="K613" i="5"/>
  <c r="N68" i="6"/>
  <c r="N66" i="6" s="1"/>
  <c r="P333" i="6"/>
  <c r="O385" i="6"/>
  <c r="K498" i="6"/>
  <c r="O582" i="6"/>
  <c r="I367" i="7"/>
  <c r="K367" i="7" s="1"/>
  <c r="K381" i="7"/>
  <c r="K416" i="7"/>
  <c r="K424" i="7"/>
  <c r="K474" i="7"/>
  <c r="K630" i="7"/>
  <c r="K634" i="7"/>
  <c r="P122" i="8"/>
  <c r="K88" i="9"/>
  <c r="K108" i="9"/>
  <c r="K219" i="9"/>
  <c r="O347" i="9"/>
  <c r="K377" i="9"/>
  <c r="K466" i="9"/>
  <c r="O537" i="9"/>
  <c r="K84" i="10"/>
  <c r="K613" i="10"/>
  <c r="P70" i="12"/>
  <c r="N33" i="18"/>
  <c r="N13" i="18" s="1"/>
  <c r="N68" i="19"/>
  <c r="P122" i="20"/>
  <c r="M120" i="20"/>
  <c r="K328" i="5"/>
  <c r="N331" i="5"/>
  <c r="N329" i="5" s="1"/>
  <c r="K349" i="5"/>
  <c r="K370" i="5"/>
  <c r="K449" i="5"/>
  <c r="K497" i="5"/>
  <c r="N22" i="6"/>
  <c r="P57" i="6"/>
  <c r="L70" i="6"/>
  <c r="O70" i="6" s="1"/>
  <c r="P254" i="6"/>
  <c r="K328" i="6"/>
  <c r="O352" i="6"/>
  <c r="K396" i="6"/>
  <c r="K425" i="6"/>
  <c r="K429" i="6"/>
  <c r="O437" i="6"/>
  <c r="K164" i="7"/>
  <c r="K185" i="7"/>
  <c r="L275" i="7"/>
  <c r="O275" i="7" s="1"/>
  <c r="N31" i="7"/>
  <c r="K432" i="7"/>
  <c r="K449" i="7"/>
  <c r="O551" i="7"/>
  <c r="K597" i="7"/>
  <c r="N55" i="8"/>
  <c r="P55" i="8" s="1"/>
  <c r="K264" i="8"/>
  <c r="N312" i="8"/>
  <c r="N310" i="8" s="1"/>
  <c r="P333" i="8"/>
  <c r="K340" i="8"/>
  <c r="K349" i="8"/>
  <c r="K421" i="8"/>
  <c r="K425" i="8"/>
  <c r="K429" i="8"/>
  <c r="O437" i="8"/>
  <c r="K450" i="8"/>
  <c r="O599" i="8"/>
  <c r="K633" i="8"/>
  <c r="K396" i="9"/>
  <c r="K401" i="9"/>
  <c r="O404" i="9"/>
  <c r="K499" i="9"/>
  <c r="K635" i="9"/>
  <c r="K109" i="10"/>
  <c r="K113" i="10"/>
  <c r="K176" i="10"/>
  <c r="K186" i="10"/>
  <c r="N292" i="10"/>
  <c r="N290" i="10" s="1"/>
  <c r="K380" i="10"/>
  <c r="O457" i="10"/>
  <c r="K482" i="10"/>
  <c r="O535" i="10"/>
  <c r="K82" i="11"/>
  <c r="K481" i="15"/>
  <c r="K368" i="17"/>
  <c r="K376" i="17"/>
  <c r="O380" i="17"/>
  <c r="K398" i="17"/>
  <c r="K402" i="17"/>
  <c r="K419" i="17"/>
  <c r="K465" i="17"/>
  <c r="K213" i="21"/>
  <c r="P57" i="12"/>
  <c r="L122" i="12"/>
  <c r="L120" i="12" s="1"/>
  <c r="L275" i="12"/>
  <c r="L273" i="12" s="1"/>
  <c r="L271" i="12" s="1"/>
  <c r="K482" i="12"/>
  <c r="K591" i="12"/>
  <c r="K595" i="12"/>
  <c r="K424" i="13"/>
  <c r="O533" i="13"/>
  <c r="P70" i="14"/>
  <c r="L45" i="15"/>
  <c r="O45" i="15" s="1"/>
  <c r="K65" i="15"/>
  <c r="O349" i="15"/>
  <c r="O457" i="15"/>
  <c r="K111" i="17"/>
  <c r="K117" i="17"/>
  <c r="K229" i="17"/>
  <c r="O347" i="17"/>
  <c r="K377" i="17"/>
  <c r="K381" i="17"/>
  <c r="K497" i="17"/>
  <c r="K631" i="17"/>
  <c r="K158" i="18"/>
  <c r="L34" i="18"/>
  <c r="L275" i="19"/>
  <c r="L273" i="19" s="1"/>
  <c r="L333" i="19"/>
  <c r="O333" i="19" s="1"/>
  <c r="K345" i="19"/>
  <c r="K424" i="19"/>
  <c r="K423" i="20"/>
  <c r="K427" i="20"/>
  <c r="L275" i="21"/>
  <c r="L273" i="21" s="1"/>
  <c r="L271" i="21" s="1"/>
  <c r="K113" i="11"/>
  <c r="K199" i="11"/>
  <c r="O385" i="11"/>
  <c r="O537" i="11"/>
  <c r="L57" i="12"/>
  <c r="O57" i="12" s="1"/>
  <c r="O582" i="12"/>
  <c r="K611" i="12"/>
  <c r="O349" i="13"/>
  <c r="K455" i="13"/>
  <c r="K629" i="13"/>
  <c r="K424" i="14"/>
  <c r="K497" i="14"/>
  <c r="K595" i="14"/>
  <c r="K631" i="14"/>
  <c r="K635" i="14"/>
  <c r="K235" i="15"/>
  <c r="O404" i="15"/>
  <c r="K617" i="15"/>
  <c r="L57" i="16"/>
  <c r="O57" i="16" s="1"/>
  <c r="K595" i="17"/>
  <c r="L45" i="18"/>
  <c r="O45" i="18" s="1"/>
  <c r="K65" i="18"/>
  <c r="M120" i="18"/>
  <c r="P120" i="18" s="1"/>
  <c r="K424" i="18"/>
  <c r="K634" i="18"/>
  <c r="M55" i="19"/>
  <c r="M53" i="19" s="1"/>
  <c r="K199" i="19"/>
  <c r="K229" i="20"/>
  <c r="K428" i="20"/>
  <c r="K432" i="20"/>
  <c r="K235" i="21"/>
  <c r="K421" i="21"/>
  <c r="O533" i="21"/>
  <c r="K449" i="11"/>
  <c r="K499" i="11"/>
  <c r="N96" i="12"/>
  <c r="N94" i="12" s="1"/>
  <c r="K625" i="12"/>
  <c r="N142" i="13"/>
  <c r="N140" i="13" s="1"/>
  <c r="N273" i="13"/>
  <c r="N271" i="13" s="1"/>
  <c r="N96" i="14"/>
  <c r="N94" i="14" s="1"/>
  <c r="N120" i="14"/>
  <c r="N118" i="14" s="1"/>
  <c r="N252" i="14"/>
  <c r="N250" i="14" s="1"/>
  <c r="K450" i="15"/>
  <c r="K449" i="17"/>
  <c r="N55" i="18"/>
  <c r="N53" i="18" s="1"/>
  <c r="L32" i="18"/>
  <c r="L30" i="18" s="1"/>
  <c r="K401" i="18"/>
  <c r="O404" i="18"/>
  <c r="K421" i="18"/>
  <c r="K429" i="18"/>
  <c r="O383" i="19"/>
  <c r="N33" i="19"/>
  <c r="N13" i="19" s="1"/>
  <c r="L24" i="20"/>
  <c r="O24" i="20" s="1"/>
  <c r="N68" i="21"/>
  <c r="N66" i="21" s="1"/>
  <c r="L122" i="21"/>
  <c r="L120" i="21" s="1"/>
  <c r="L118" i="21" s="1"/>
  <c r="O118" i="21" s="1"/>
  <c r="L254" i="21"/>
  <c r="O254" i="21" s="1"/>
  <c r="K341" i="21"/>
  <c r="N331" i="12"/>
  <c r="N329" i="12" s="1"/>
  <c r="K350" i="13"/>
  <c r="O459" i="13"/>
  <c r="N142" i="14"/>
  <c r="N140" i="14" s="1"/>
  <c r="K200" i="14"/>
  <c r="K449" i="14"/>
  <c r="P314" i="16"/>
  <c r="K372" i="16"/>
  <c r="K419" i="16"/>
  <c r="K573" i="16"/>
  <c r="K341" i="17"/>
  <c r="O599" i="17"/>
  <c r="K629" i="17"/>
  <c r="L57" i="18"/>
  <c r="L55" i="18" s="1"/>
  <c r="L70" i="18"/>
  <c r="O70" i="18" s="1"/>
  <c r="K83" i="18"/>
  <c r="L224" i="18"/>
  <c r="L222" i="18" s="1"/>
  <c r="N252" i="18"/>
  <c r="N250" i="18" s="1"/>
  <c r="K65" i="19"/>
  <c r="N120" i="19"/>
  <c r="N118" i="19" s="1"/>
  <c r="O566" i="19"/>
  <c r="O597" i="19"/>
  <c r="K219" i="20"/>
  <c r="K266" i="20"/>
  <c r="N312" i="20"/>
  <c r="N310" i="20" s="1"/>
  <c r="K425" i="20"/>
  <c r="N292" i="21"/>
  <c r="N290" i="21" s="1"/>
  <c r="K376" i="21"/>
  <c r="K422" i="21"/>
  <c r="O437" i="21"/>
  <c r="N331" i="11"/>
  <c r="N329" i="11" s="1"/>
  <c r="K396" i="11"/>
  <c r="K450" i="11"/>
  <c r="K455" i="11"/>
  <c r="K199" i="12"/>
  <c r="K380" i="12"/>
  <c r="N32" i="12"/>
  <c r="N30" i="12" s="1"/>
  <c r="K464" i="12"/>
  <c r="K634" i="12"/>
  <c r="K111" i="13"/>
  <c r="K164" i="13"/>
  <c r="K185" i="13"/>
  <c r="K265" i="15"/>
  <c r="N34" i="15"/>
  <c r="N14" i="15" s="1"/>
  <c r="P98" i="16"/>
  <c r="L314" i="16"/>
  <c r="L312" i="16" s="1"/>
  <c r="N34" i="16"/>
  <c r="N14" i="16" s="1"/>
  <c r="O401" i="17"/>
  <c r="K422" i="17"/>
  <c r="K430" i="18"/>
  <c r="L57" i="19"/>
  <c r="L55" i="19" s="1"/>
  <c r="K430" i="19"/>
  <c r="N26" i="20"/>
  <c r="N16" i="20" s="1"/>
  <c r="P314" i="20"/>
  <c r="N34" i="21"/>
  <c r="N14" i="21" s="1"/>
  <c r="K573" i="21"/>
  <c r="K631" i="21"/>
  <c r="L294" i="12"/>
  <c r="O294" i="12" s="1"/>
  <c r="K422" i="12"/>
  <c r="K426" i="12"/>
  <c r="K430" i="12"/>
  <c r="K435" i="12"/>
  <c r="K465" i="12"/>
  <c r="K564" i="12"/>
  <c r="O584" i="12"/>
  <c r="L45" i="13"/>
  <c r="O45" i="13" s="1"/>
  <c r="K93" i="13"/>
  <c r="K340" i="13"/>
  <c r="O347" i="13"/>
  <c r="K377" i="13"/>
  <c r="O385" i="13"/>
  <c r="O406" i="13"/>
  <c r="K423" i="13"/>
  <c r="K533" i="13"/>
  <c r="K591" i="13"/>
  <c r="O601" i="13"/>
  <c r="K164" i="14"/>
  <c r="K185" i="14"/>
  <c r="K422" i="14"/>
  <c r="K429" i="14"/>
  <c r="K580" i="14"/>
  <c r="K593" i="14"/>
  <c r="K597" i="14"/>
  <c r="K92" i="15"/>
  <c r="K138" i="15"/>
  <c r="K199" i="15"/>
  <c r="K430" i="15"/>
  <c r="K593" i="15"/>
  <c r="K597" i="15"/>
  <c r="K630" i="15"/>
  <c r="L45" i="16"/>
  <c r="L43" i="16" s="1"/>
  <c r="K185" i="16"/>
  <c r="K343" i="16"/>
  <c r="O347" i="16"/>
  <c r="K416" i="16"/>
  <c r="K595" i="16"/>
  <c r="N55" i="17"/>
  <c r="N53" i="17" s="1"/>
  <c r="L294" i="17"/>
  <c r="O294" i="17" s="1"/>
  <c r="K547" i="17"/>
  <c r="K580" i="17"/>
  <c r="K589" i="17"/>
  <c r="K597" i="17"/>
  <c r="K630" i="17"/>
  <c r="K235" i="18"/>
  <c r="L254" i="18"/>
  <c r="O254" i="18" s="1"/>
  <c r="K368" i="18"/>
  <c r="K465" i="18"/>
  <c r="K473" i="18"/>
  <c r="K628" i="18"/>
  <c r="K343" i="19"/>
  <c r="K473" i="19"/>
  <c r="P45" i="20"/>
  <c r="L224" i="20"/>
  <c r="L222" i="20" s="1"/>
  <c r="K249" i="20"/>
  <c r="K267" i="20"/>
  <c r="N292" i="20"/>
  <c r="N290" i="20" s="1"/>
  <c r="K422" i="20"/>
  <c r="K430" i="20"/>
  <c r="O455" i="20"/>
  <c r="K427" i="21"/>
  <c r="K431" i="21"/>
  <c r="K497" i="21"/>
  <c r="I138" i="1"/>
  <c r="I429" i="1"/>
  <c r="I469" i="1"/>
  <c r="K469" i="1" s="1"/>
  <c r="I473" i="1"/>
  <c r="I477" i="1"/>
  <c r="K477" i="1" s="1"/>
  <c r="I580" i="1"/>
  <c r="J611" i="1"/>
  <c r="N32" i="2"/>
  <c r="N30" i="2" s="1"/>
  <c r="K199" i="2"/>
  <c r="K340" i="2"/>
  <c r="O533" i="2"/>
  <c r="N34" i="3"/>
  <c r="N14" i="3" s="1"/>
  <c r="K416" i="3"/>
  <c r="K424" i="3"/>
  <c r="I617" i="1"/>
  <c r="N26" i="4"/>
  <c r="N16" i="4" s="1"/>
  <c r="K285" i="4"/>
  <c r="K397" i="4"/>
  <c r="I270" i="1"/>
  <c r="N314" i="1"/>
  <c r="K85" i="2"/>
  <c r="J183" i="1"/>
  <c r="N222" i="2"/>
  <c r="N220" i="2" s="1"/>
  <c r="K244" i="2"/>
  <c r="K266" i="2"/>
  <c r="K349" i="2"/>
  <c r="O351" i="2"/>
  <c r="K398" i="2"/>
  <c r="K430" i="2"/>
  <c r="K455" i="2"/>
  <c r="K464" i="2"/>
  <c r="K467" i="2"/>
  <c r="K497" i="2"/>
  <c r="K547" i="2"/>
  <c r="K595" i="2"/>
  <c r="O597" i="2"/>
  <c r="K635" i="2"/>
  <c r="N26" i="3"/>
  <c r="N16" i="3" s="1"/>
  <c r="K111" i="3"/>
  <c r="K133" i="3"/>
  <c r="K215" i="3"/>
  <c r="K349" i="3"/>
  <c r="K396" i="3"/>
  <c r="O456" i="3"/>
  <c r="J496" i="1"/>
  <c r="O533" i="3"/>
  <c r="N567" i="1"/>
  <c r="J613" i="1"/>
  <c r="K117" i="4"/>
  <c r="J269" i="1"/>
  <c r="L333" i="4"/>
  <c r="L331" i="4" s="1"/>
  <c r="L329" i="4" s="1"/>
  <c r="K381" i="4"/>
  <c r="O354" i="5"/>
  <c r="L34" i="5"/>
  <c r="O534" i="5"/>
  <c r="L31" i="5"/>
  <c r="L29" i="5" s="1"/>
  <c r="O406" i="7"/>
  <c r="L26" i="9"/>
  <c r="L16" i="9" s="1"/>
  <c r="O49" i="9"/>
  <c r="L58" i="1"/>
  <c r="L71" i="1"/>
  <c r="I81" i="1"/>
  <c r="N98" i="1"/>
  <c r="L347" i="1"/>
  <c r="L351" i="1"/>
  <c r="O351" i="1" s="1"/>
  <c r="I452" i="1"/>
  <c r="K452" i="1" s="1"/>
  <c r="L456" i="1"/>
  <c r="O456" i="1" s="1"/>
  <c r="I478" i="1"/>
  <c r="K478" i="1" s="1"/>
  <c r="L554" i="1"/>
  <c r="O554" i="1" s="1"/>
  <c r="I560" i="1"/>
  <c r="I592" i="1"/>
  <c r="K592" i="1" s="1"/>
  <c r="O352" i="2"/>
  <c r="O455" i="2"/>
  <c r="K632" i="2"/>
  <c r="O102" i="3"/>
  <c r="K112" i="3"/>
  <c r="J260" i="1"/>
  <c r="O349" i="3"/>
  <c r="K417" i="3"/>
  <c r="L601" i="1"/>
  <c r="J609" i="1"/>
  <c r="O352" i="4"/>
  <c r="L32" i="8"/>
  <c r="L30" i="8" s="1"/>
  <c r="O457" i="8"/>
  <c r="I87" i="1"/>
  <c r="I117" i="1"/>
  <c r="M275" i="1"/>
  <c r="I343" i="1"/>
  <c r="N347" i="1"/>
  <c r="I397" i="1"/>
  <c r="L405" i="1"/>
  <c r="O405" i="1" s="1"/>
  <c r="I496" i="1"/>
  <c r="K496" i="1" s="1"/>
  <c r="L536" i="1"/>
  <c r="O536" i="1" s="1"/>
  <c r="J630" i="1"/>
  <c r="N68" i="2"/>
  <c r="N66" i="2" s="1"/>
  <c r="N292" i="2"/>
  <c r="N290" i="2" s="1"/>
  <c r="K345" i="2"/>
  <c r="K419" i="2"/>
  <c r="O459" i="2"/>
  <c r="O535" i="2"/>
  <c r="O580" i="2"/>
  <c r="J171" i="1"/>
  <c r="J176" i="1"/>
  <c r="K376" i="3"/>
  <c r="K426" i="3"/>
  <c r="K455" i="3"/>
  <c r="K482" i="3"/>
  <c r="N68" i="4"/>
  <c r="N66" i="4" s="1"/>
  <c r="N142" i="4"/>
  <c r="P142" i="4" s="1"/>
  <c r="L275" i="4"/>
  <c r="O275" i="4" s="1"/>
  <c r="L123" i="1"/>
  <c r="I186" i="1"/>
  <c r="L258" i="1"/>
  <c r="O258" i="1" s="1"/>
  <c r="N275" i="1"/>
  <c r="N435" i="1"/>
  <c r="I589" i="1"/>
  <c r="I593" i="1"/>
  <c r="L70" i="2"/>
  <c r="O70" i="2" s="1"/>
  <c r="J158" i="1"/>
  <c r="K235" i="2"/>
  <c r="N32" i="3"/>
  <c r="N30" i="3" s="1"/>
  <c r="L23" i="3"/>
  <c r="O23" i="3" s="1"/>
  <c r="J161" i="1"/>
  <c r="K402" i="3"/>
  <c r="K631" i="3"/>
  <c r="L57" i="4"/>
  <c r="O57" i="4" s="1"/>
  <c r="L70" i="4"/>
  <c r="O70" i="4" s="1"/>
  <c r="L24" i="4"/>
  <c r="O24" i="4" s="1"/>
  <c r="P74" i="9"/>
  <c r="I199" i="1"/>
  <c r="L318" i="1"/>
  <c r="O318" i="1" s="1"/>
  <c r="M333" i="1"/>
  <c r="I340" i="1"/>
  <c r="I344" i="1"/>
  <c r="K344" i="1" s="1"/>
  <c r="I510" i="1"/>
  <c r="K510" i="1" s="1"/>
  <c r="L537" i="1"/>
  <c r="N566" i="1"/>
  <c r="I579" i="1"/>
  <c r="K579" i="1" s="1"/>
  <c r="J114" i="1"/>
  <c r="K533" i="2"/>
  <c r="P144" i="3"/>
  <c r="J155" i="1"/>
  <c r="M331" i="3"/>
  <c r="M329" i="3" s="1"/>
  <c r="N588" i="1"/>
  <c r="M22" i="4"/>
  <c r="M12" i="4" s="1"/>
  <c r="O49" i="4"/>
  <c r="K416" i="4"/>
  <c r="L333" i="5"/>
  <c r="O333" i="5" s="1"/>
  <c r="L23" i="5"/>
  <c r="O23" i="5" s="1"/>
  <c r="M45" i="1"/>
  <c r="I164" i="1"/>
  <c r="I176" i="1"/>
  <c r="I309" i="1"/>
  <c r="I328" i="1"/>
  <c r="I376" i="1"/>
  <c r="L380" i="1"/>
  <c r="I472" i="1"/>
  <c r="K472" i="1" s="1"/>
  <c r="I476" i="1"/>
  <c r="K476" i="1" s="1"/>
  <c r="L552" i="1"/>
  <c r="O552" i="1" s="1"/>
  <c r="N55" i="2"/>
  <c r="N53" i="2" s="1"/>
  <c r="N120" i="2"/>
  <c r="N118" i="2" s="1"/>
  <c r="K229" i="2"/>
  <c r="O354" i="2"/>
  <c r="O383" i="2"/>
  <c r="K425" i="2"/>
  <c r="K432" i="2"/>
  <c r="K449" i="2"/>
  <c r="O457" i="2"/>
  <c r="K481" i="2"/>
  <c r="K499" i="2"/>
  <c r="O564" i="2"/>
  <c r="K634" i="2"/>
  <c r="K65" i="3"/>
  <c r="N68" i="3"/>
  <c r="N66" i="3" s="1"/>
  <c r="N331" i="3"/>
  <c r="N329" i="3" s="1"/>
  <c r="K343" i="3"/>
  <c r="O385" i="3"/>
  <c r="K589" i="3"/>
  <c r="O599" i="3"/>
  <c r="K158" i="4"/>
  <c r="P275" i="4"/>
  <c r="I367" i="4"/>
  <c r="K367" i="4" s="1"/>
  <c r="O404" i="4"/>
  <c r="O437" i="5"/>
  <c r="L32" i="5"/>
  <c r="L30" i="5" s="1"/>
  <c r="K631" i="4"/>
  <c r="K267" i="5"/>
  <c r="K482" i="5"/>
  <c r="N31" i="5"/>
  <c r="N29" i="5" s="1"/>
  <c r="K547" i="5"/>
  <c r="K628" i="5"/>
  <c r="K149" i="6"/>
  <c r="N292" i="6"/>
  <c r="N290" i="6" s="1"/>
  <c r="O354" i="6"/>
  <c r="K621" i="6"/>
  <c r="P57" i="7"/>
  <c r="K199" i="7"/>
  <c r="K235" i="7"/>
  <c r="P294" i="7"/>
  <c r="K369" i="7"/>
  <c r="K377" i="7"/>
  <c r="O455" i="7"/>
  <c r="O49" i="8"/>
  <c r="K82" i="8"/>
  <c r="K432" i="8"/>
  <c r="K589" i="8"/>
  <c r="P57" i="9"/>
  <c r="K113" i="9"/>
  <c r="M120" i="9"/>
  <c r="P120" i="9" s="1"/>
  <c r="O380" i="9"/>
  <c r="K398" i="9"/>
  <c r="K110" i="10"/>
  <c r="L224" i="10"/>
  <c r="O224" i="10" s="1"/>
  <c r="O435" i="4"/>
  <c r="O439" i="4"/>
  <c r="K533" i="4"/>
  <c r="K628" i="4"/>
  <c r="K632" i="4"/>
  <c r="P57" i="5"/>
  <c r="K93" i="5"/>
  <c r="N22" i="5"/>
  <c r="K264" i="5"/>
  <c r="J607" i="1"/>
  <c r="K612" i="5"/>
  <c r="K92" i="6"/>
  <c r="K199" i="6"/>
  <c r="K343" i="6"/>
  <c r="K455" i="6"/>
  <c r="K474" i="6"/>
  <c r="O537" i="6"/>
  <c r="K551" i="6"/>
  <c r="O564" i="6"/>
  <c r="K111" i="7"/>
  <c r="K580" i="7"/>
  <c r="K350" i="8"/>
  <c r="K368" i="8"/>
  <c r="K375" i="8"/>
  <c r="L23" i="9"/>
  <c r="O23" i="9" s="1"/>
  <c r="N68" i="9"/>
  <c r="N66" i="9" s="1"/>
  <c r="K92" i="9"/>
  <c r="K110" i="9"/>
  <c r="P224" i="9"/>
  <c r="N292" i="9"/>
  <c r="N290" i="9" s="1"/>
  <c r="K381" i="9"/>
  <c r="O385" i="9"/>
  <c r="K416" i="9"/>
  <c r="K423" i="9"/>
  <c r="K473" i="9"/>
  <c r="K547" i="9"/>
  <c r="O564" i="9"/>
  <c r="O597" i="9"/>
  <c r="K634" i="9"/>
  <c r="P98" i="10"/>
  <c r="L122" i="10"/>
  <c r="O122" i="10" s="1"/>
  <c r="K189" i="10"/>
  <c r="K235" i="10"/>
  <c r="K328" i="10"/>
  <c r="K622" i="13"/>
  <c r="K621" i="13"/>
  <c r="N292" i="15"/>
  <c r="N290" i="15" s="1"/>
  <c r="K619" i="4"/>
  <c r="N273" i="5"/>
  <c r="N271" i="5" s="1"/>
  <c r="N33" i="5"/>
  <c r="N13" i="5" s="1"/>
  <c r="K465" i="5"/>
  <c r="K620" i="5"/>
  <c r="K267" i="6"/>
  <c r="K377" i="6"/>
  <c r="N33" i="6"/>
  <c r="N13" i="6" s="1"/>
  <c r="K625" i="6"/>
  <c r="L144" i="7"/>
  <c r="O144" i="7" s="1"/>
  <c r="K370" i="7"/>
  <c r="O404" i="7"/>
  <c r="K428" i="7"/>
  <c r="O555" i="7"/>
  <c r="P57" i="8"/>
  <c r="K402" i="8"/>
  <c r="O584" i="8"/>
  <c r="K593" i="8"/>
  <c r="P144" i="9"/>
  <c r="K340" i="9"/>
  <c r="K370" i="9"/>
  <c r="K420" i="9"/>
  <c r="K449" i="9"/>
  <c r="K474" i="9"/>
  <c r="O535" i="9"/>
  <c r="K631" i="9"/>
  <c r="L254" i="10"/>
  <c r="O254" i="10" s="1"/>
  <c r="N26" i="15"/>
  <c r="N16" i="15" s="1"/>
  <c r="O405" i="15"/>
  <c r="L33" i="15"/>
  <c r="O33" i="15" s="1"/>
  <c r="K424" i="4"/>
  <c r="K428" i="4"/>
  <c r="K612" i="4"/>
  <c r="K235" i="5"/>
  <c r="K265" i="5"/>
  <c r="O337" i="5"/>
  <c r="O455" i="5"/>
  <c r="L45" i="6"/>
  <c r="L43" i="6" s="1"/>
  <c r="N55" i="6"/>
  <c r="N53" i="6" s="1"/>
  <c r="N120" i="6"/>
  <c r="N118" i="6" s="1"/>
  <c r="N331" i="6"/>
  <c r="N329" i="6" s="1"/>
  <c r="K381" i="6"/>
  <c r="K422" i="6"/>
  <c r="K435" i="6"/>
  <c r="K547" i="6"/>
  <c r="K65" i="8"/>
  <c r="K83" i="8"/>
  <c r="K430" i="8"/>
  <c r="N96" i="9"/>
  <c r="N94" i="9" s="1"/>
  <c r="N142" i="9"/>
  <c r="N140" i="9" s="1"/>
  <c r="N331" i="9"/>
  <c r="N329" i="9" s="1"/>
  <c r="L32" i="9"/>
  <c r="L30" i="9" s="1"/>
  <c r="N55" i="10"/>
  <c r="N53" i="10" s="1"/>
  <c r="P53" i="10" s="1"/>
  <c r="O354" i="13"/>
  <c r="L34" i="13"/>
  <c r="K450" i="4"/>
  <c r="K455" i="4"/>
  <c r="O564" i="4"/>
  <c r="L24" i="5"/>
  <c r="O24" i="5" s="1"/>
  <c r="K428" i="5"/>
  <c r="K466" i="5"/>
  <c r="O597" i="5"/>
  <c r="L26" i="6"/>
  <c r="L16" i="6" s="1"/>
  <c r="K309" i="6"/>
  <c r="O435" i="6"/>
  <c r="M66" i="7"/>
  <c r="P66" i="7" s="1"/>
  <c r="K328" i="7"/>
  <c r="K421" i="7"/>
  <c r="K429" i="7"/>
  <c r="K80" i="8"/>
  <c r="N96" i="8"/>
  <c r="N94" i="8" s="1"/>
  <c r="K547" i="8"/>
  <c r="K80" i="9"/>
  <c r="K173" i="9"/>
  <c r="K189" i="9"/>
  <c r="L333" i="9"/>
  <c r="O333" i="9" s="1"/>
  <c r="O349" i="9"/>
  <c r="K429" i="9"/>
  <c r="K450" i="9"/>
  <c r="K533" i="9"/>
  <c r="L57" i="10"/>
  <c r="O57" i="10" s="1"/>
  <c r="K201" i="10"/>
  <c r="O383" i="12"/>
  <c r="L32" i="12"/>
  <c r="L30" i="12" s="1"/>
  <c r="K109" i="5"/>
  <c r="P333" i="5"/>
  <c r="M49" i="6"/>
  <c r="M43" i="6" s="1"/>
  <c r="K108" i="6"/>
  <c r="K427" i="6"/>
  <c r="K597" i="6"/>
  <c r="N142" i="7"/>
  <c r="N140" i="7" s="1"/>
  <c r="K176" i="7"/>
  <c r="K340" i="7"/>
  <c r="K372" i="7"/>
  <c r="K376" i="7"/>
  <c r="O380" i="7"/>
  <c r="K418" i="7"/>
  <c r="K422" i="7"/>
  <c r="K450" i="7"/>
  <c r="N32" i="7"/>
  <c r="N30" i="7" s="1"/>
  <c r="K199" i="8"/>
  <c r="L275" i="8"/>
  <c r="O275" i="8" s="1"/>
  <c r="K370" i="8"/>
  <c r="P294" i="9"/>
  <c r="N32" i="11"/>
  <c r="N30" i="11" s="1"/>
  <c r="K435" i="4"/>
  <c r="P45" i="5"/>
  <c r="K176" i="5"/>
  <c r="K340" i="5"/>
  <c r="O347" i="5"/>
  <c r="K350" i="5"/>
  <c r="K368" i="5"/>
  <c r="O380" i="5"/>
  <c r="O401" i="5"/>
  <c r="K421" i="5"/>
  <c r="K429" i="5"/>
  <c r="K432" i="5"/>
  <c r="K481" i="5"/>
  <c r="K112" i="6"/>
  <c r="K158" i="6"/>
  <c r="N273" i="6"/>
  <c r="P273" i="6" s="1"/>
  <c r="O349" i="6"/>
  <c r="K380" i="6"/>
  <c r="K424" i="6"/>
  <c r="K428" i="6"/>
  <c r="K449" i="6"/>
  <c r="K632" i="6"/>
  <c r="O49" i="7"/>
  <c r="J76" i="1"/>
  <c r="K149" i="7"/>
  <c r="J219" i="1"/>
  <c r="L225" i="1"/>
  <c r="N279" i="1"/>
  <c r="J392" i="1"/>
  <c r="J398" i="1"/>
  <c r="K430" i="7"/>
  <c r="K455" i="7"/>
  <c r="J493" i="1"/>
  <c r="N34" i="7"/>
  <c r="N14" i="7" s="1"/>
  <c r="J546" i="1"/>
  <c r="K551" i="7"/>
  <c r="O568" i="7"/>
  <c r="O582" i="7"/>
  <c r="K81" i="8"/>
  <c r="K249" i="8"/>
  <c r="N252" i="8"/>
  <c r="N250" i="8" s="1"/>
  <c r="K401" i="8"/>
  <c r="O404" i="8"/>
  <c r="N34" i="8"/>
  <c r="N14" i="8" s="1"/>
  <c r="O535" i="8"/>
  <c r="O582" i="8"/>
  <c r="K631" i="8"/>
  <c r="P102" i="9"/>
  <c r="L294" i="9"/>
  <c r="O294" i="9" s="1"/>
  <c r="P314" i="9"/>
  <c r="K368" i="9"/>
  <c r="O401" i="9"/>
  <c r="K418" i="9"/>
  <c r="K422" i="9"/>
  <c r="K435" i="9"/>
  <c r="K464" i="9"/>
  <c r="O533" i="9"/>
  <c r="O566" i="9"/>
  <c r="O599" i="9"/>
  <c r="O102" i="10"/>
  <c r="K149" i="10"/>
  <c r="L275" i="10"/>
  <c r="O275" i="10" s="1"/>
  <c r="K547" i="14"/>
  <c r="N120" i="15"/>
  <c r="N118" i="15" s="1"/>
  <c r="K270" i="16"/>
  <c r="O565" i="16"/>
  <c r="L31" i="16"/>
  <c r="O31" i="16" s="1"/>
  <c r="K375" i="10"/>
  <c r="L32" i="10"/>
  <c r="L30" i="10" s="1"/>
  <c r="K149" i="11"/>
  <c r="K345" i="11"/>
  <c r="K375" i="11"/>
  <c r="K464" i="11"/>
  <c r="O533" i="11"/>
  <c r="O568" i="11"/>
  <c r="O597" i="11"/>
  <c r="P224" i="12"/>
  <c r="K375" i="12"/>
  <c r="K397" i="12"/>
  <c r="K597" i="12"/>
  <c r="K372" i="13"/>
  <c r="K560" i="13"/>
  <c r="P57" i="14"/>
  <c r="N68" i="14"/>
  <c r="N66" i="14" s="1"/>
  <c r="P66" i="14" s="1"/>
  <c r="K85" i="14"/>
  <c r="K235" i="14"/>
  <c r="L333" i="14"/>
  <c r="O333" i="14" s="1"/>
  <c r="K345" i="14"/>
  <c r="O352" i="14"/>
  <c r="K615" i="14"/>
  <c r="N273" i="15"/>
  <c r="N271" i="15" s="1"/>
  <c r="K376" i="15"/>
  <c r="O380" i="15"/>
  <c r="K397" i="15"/>
  <c r="K418" i="15"/>
  <c r="K474" i="15"/>
  <c r="O599" i="15"/>
  <c r="K435" i="16"/>
  <c r="K451" i="16"/>
  <c r="O455" i="16"/>
  <c r="K465" i="16"/>
  <c r="K547" i="16"/>
  <c r="K158" i="17"/>
  <c r="O347" i="10"/>
  <c r="K368" i="10"/>
  <c r="O337" i="11"/>
  <c r="K402" i="11"/>
  <c r="K631" i="11"/>
  <c r="O354" i="12"/>
  <c r="K376" i="12"/>
  <c r="O380" i="12"/>
  <c r="K398" i="12"/>
  <c r="O580" i="12"/>
  <c r="K110" i="13"/>
  <c r="K370" i="14"/>
  <c r="K381" i="14"/>
  <c r="O406" i="14"/>
  <c r="K423" i="14"/>
  <c r="O455" i="14"/>
  <c r="K632" i="14"/>
  <c r="K64" i="15"/>
  <c r="P98" i="15"/>
  <c r="N312" i="15"/>
  <c r="N310" i="15" s="1"/>
  <c r="K580" i="15"/>
  <c r="L98" i="16"/>
  <c r="P144" i="16"/>
  <c r="N34" i="17"/>
  <c r="N14" i="17" s="1"/>
  <c r="N31" i="18"/>
  <c r="N11" i="18" s="1"/>
  <c r="N9" i="18" s="1"/>
  <c r="N43" i="19"/>
  <c r="P43" i="19" s="1"/>
  <c r="P45" i="19"/>
  <c r="K349" i="10"/>
  <c r="K402" i="10"/>
  <c r="K455" i="10"/>
  <c r="O582" i="10"/>
  <c r="K629" i="10"/>
  <c r="L224" i="11"/>
  <c r="O224" i="11" s="1"/>
  <c r="K372" i="11"/>
  <c r="K431" i="11"/>
  <c r="K547" i="11"/>
  <c r="O582" i="11"/>
  <c r="N68" i="12"/>
  <c r="N66" i="12" s="1"/>
  <c r="N33" i="12"/>
  <c r="N13" i="12" s="1"/>
  <c r="O597" i="12"/>
  <c r="K381" i="13"/>
  <c r="N31" i="13"/>
  <c r="N29" i="13" s="1"/>
  <c r="N43" i="14"/>
  <c r="N41" i="14" s="1"/>
  <c r="K229" i="14"/>
  <c r="O349" i="14"/>
  <c r="K431" i="14"/>
  <c r="O435" i="14"/>
  <c r="K498" i="14"/>
  <c r="K533" i="14"/>
  <c r="K564" i="14"/>
  <c r="O584" i="14"/>
  <c r="K629" i="14"/>
  <c r="K633" i="14"/>
  <c r="K229" i="15"/>
  <c r="K349" i="15"/>
  <c r="K381" i="15"/>
  <c r="K419" i="15"/>
  <c r="K426" i="15"/>
  <c r="O437" i="15"/>
  <c r="K499" i="15"/>
  <c r="O535" i="15"/>
  <c r="K189" i="16"/>
  <c r="N252" i="16"/>
  <c r="N250" i="16" s="1"/>
  <c r="K340" i="16"/>
  <c r="K370" i="16"/>
  <c r="K431" i="16"/>
  <c r="K466" i="16"/>
  <c r="L45" i="17"/>
  <c r="O45" i="17" s="1"/>
  <c r="N68" i="17"/>
  <c r="N66" i="17" s="1"/>
  <c r="K108" i="17"/>
  <c r="K112" i="17"/>
  <c r="O353" i="18"/>
  <c r="L33" i="18"/>
  <c r="O33" i="18" s="1"/>
  <c r="N32" i="20"/>
  <c r="N30" i="20" s="1"/>
  <c r="K419" i="10"/>
  <c r="K427" i="10"/>
  <c r="N68" i="11"/>
  <c r="N66" i="11" s="1"/>
  <c r="K110" i="11"/>
  <c r="K619" i="11"/>
  <c r="K85" i="12"/>
  <c r="M312" i="12"/>
  <c r="P312" i="12" s="1"/>
  <c r="K343" i="12"/>
  <c r="O439" i="12"/>
  <c r="N120" i="13"/>
  <c r="N118" i="13" s="1"/>
  <c r="K235" i="13"/>
  <c r="L254" i="13"/>
  <c r="O254" i="13" s="1"/>
  <c r="N331" i="14"/>
  <c r="N329" i="14" s="1"/>
  <c r="K375" i="14"/>
  <c r="N33" i="14"/>
  <c r="N13" i="14" s="1"/>
  <c r="L24" i="15"/>
  <c r="O24" i="15" s="1"/>
  <c r="K573" i="15"/>
  <c r="O580" i="15"/>
  <c r="O597" i="15"/>
  <c r="O601" i="15"/>
  <c r="K634" i="15"/>
  <c r="N32" i="16"/>
  <c r="N30" i="16" s="1"/>
  <c r="K481" i="16"/>
  <c r="K499" i="16"/>
  <c r="K593" i="16"/>
  <c r="K629" i="16"/>
  <c r="P57" i="17"/>
  <c r="L70" i="17"/>
  <c r="O70" i="17" s="1"/>
  <c r="K80" i="17"/>
  <c r="K84" i="17"/>
  <c r="O102" i="17"/>
  <c r="K113" i="17"/>
  <c r="M273" i="17"/>
  <c r="P273" i="17" s="1"/>
  <c r="M142" i="19"/>
  <c r="M140" i="19" s="1"/>
  <c r="P144" i="19"/>
  <c r="O349" i="10"/>
  <c r="K625" i="10"/>
  <c r="L70" i="11"/>
  <c r="L68" i="11" s="1"/>
  <c r="L66" i="11" s="1"/>
  <c r="K80" i="11"/>
  <c r="L144" i="11"/>
  <c r="O566" i="11"/>
  <c r="K629" i="11"/>
  <c r="K65" i="12"/>
  <c r="P294" i="12"/>
  <c r="K200" i="13"/>
  <c r="K420" i="14"/>
  <c r="O439" i="14"/>
  <c r="K466" i="14"/>
  <c r="K591" i="14"/>
  <c r="O49" i="15"/>
  <c r="O102" i="15"/>
  <c r="L294" i="15"/>
  <c r="O294" i="15" s="1"/>
  <c r="K328" i="15"/>
  <c r="K341" i="15"/>
  <c r="K345" i="15"/>
  <c r="N120" i="16"/>
  <c r="N118" i="16" s="1"/>
  <c r="K164" i="16"/>
  <c r="K328" i="16"/>
  <c r="O553" i="18"/>
  <c r="N32" i="18"/>
  <c r="N30" i="18" s="1"/>
  <c r="N55" i="20"/>
  <c r="N53" i="20" s="1"/>
  <c r="N22" i="20"/>
  <c r="O351" i="20"/>
  <c r="L31" i="20"/>
  <c r="O31" i="20" s="1"/>
  <c r="K417" i="11"/>
  <c r="K328" i="12"/>
  <c r="K401" i="12"/>
  <c r="K435" i="13"/>
  <c r="K482" i="13"/>
  <c r="L70" i="14"/>
  <c r="O70" i="14" s="1"/>
  <c r="K84" i="14"/>
  <c r="O404" i="14"/>
  <c r="K417" i="14"/>
  <c r="K428" i="14"/>
  <c r="K634" i="14"/>
  <c r="K81" i="15"/>
  <c r="M102" i="15"/>
  <c r="P102" i="15" s="1"/>
  <c r="K204" i="15"/>
  <c r="K215" i="15"/>
  <c r="K431" i="15"/>
  <c r="O435" i="15"/>
  <c r="O533" i="15"/>
  <c r="O564" i="15"/>
  <c r="O568" i="15"/>
  <c r="K635" i="15"/>
  <c r="K186" i="16"/>
  <c r="L294" i="16"/>
  <c r="O294" i="16" s="1"/>
  <c r="K375" i="16"/>
  <c r="K380" i="16"/>
  <c r="K429" i="16"/>
  <c r="O437" i="16"/>
  <c r="O533" i="16"/>
  <c r="O584" i="16"/>
  <c r="K81" i="17"/>
  <c r="K85" i="17"/>
  <c r="K110" i="17"/>
  <c r="P98" i="19"/>
  <c r="K350" i="10"/>
  <c r="O404" i="10"/>
  <c r="K417" i="10"/>
  <c r="K421" i="10"/>
  <c r="K425" i="10"/>
  <c r="O566" i="10"/>
  <c r="L98" i="11"/>
  <c r="O98" i="11" s="1"/>
  <c r="K108" i="11"/>
  <c r="N292" i="11"/>
  <c r="N290" i="11" s="1"/>
  <c r="K349" i="11"/>
  <c r="O352" i="11"/>
  <c r="K425" i="11"/>
  <c r="K429" i="11"/>
  <c r="K498" i="11"/>
  <c r="K533" i="11"/>
  <c r="K573" i="11"/>
  <c r="O584" i="11"/>
  <c r="N43" i="12"/>
  <c r="N41" i="12" s="1"/>
  <c r="K270" i="12"/>
  <c r="L333" i="12"/>
  <c r="L331" i="12" s="1"/>
  <c r="K345" i="12"/>
  <c r="K417" i="12"/>
  <c r="K421" i="12"/>
  <c r="O437" i="12"/>
  <c r="K450" i="12"/>
  <c r="K455" i="12"/>
  <c r="O566" i="12"/>
  <c r="K593" i="12"/>
  <c r="O599" i="12"/>
  <c r="K628" i="12"/>
  <c r="K201" i="13"/>
  <c r="L275" i="13"/>
  <c r="O275" i="13" s="1"/>
  <c r="K285" i="13"/>
  <c r="L314" i="13"/>
  <c r="O314" i="13" s="1"/>
  <c r="K427" i="13"/>
  <c r="O435" i="13"/>
  <c r="K597" i="13"/>
  <c r="O599" i="13"/>
  <c r="K628" i="13"/>
  <c r="K632" i="13"/>
  <c r="K340" i="14"/>
  <c r="O383" i="14"/>
  <c r="K397" i="14"/>
  <c r="O401" i="14"/>
  <c r="K481" i="14"/>
  <c r="P45" i="15"/>
  <c r="K189" i="15"/>
  <c r="K200" i="15"/>
  <c r="L224" i="15"/>
  <c r="L222" i="15" s="1"/>
  <c r="K350" i="15"/>
  <c r="K424" i="15"/>
  <c r="K473" i="15"/>
  <c r="O582" i="15"/>
  <c r="K149" i="16"/>
  <c r="P337" i="16"/>
  <c r="O354" i="16"/>
  <c r="K368" i="16"/>
  <c r="K422" i="16"/>
  <c r="K464" i="16"/>
  <c r="O568" i="16"/>
  <c r="O403" i="18"/>
  <c r="L31" i="18"/>
  <c r="L29" i="18" s="1"/>
  <c r="N34" i="19"/>
  <c r="N14" i="19" s="1"/>
  <c r="N331" i="20"/>
  <c r="N329" i="20" s="1"/>
  <c r="P333" i="20"/>
  <c r="K397" i="21"/>
  <c r="K185" i="17"/>
  <c r="L254" i="17"/>
  <c r="O254" i="17" s="1"/>
  <c r="K264" i="17"/>
  <c r="N312" i="17"/>
  <c r="N310" i="17" s="1"/>
  <c r="O354" i="17"/>
  <c r="K396" i="17"/>
  <c r="K401" i="17"/>
  <c r="K417" i="17"/>
  <c r="K425" i="17"/>
  <c r="O582" i="17"/>
  <c r="K64" i="18"/>
  <c r="P98" i="18"/>
  <c r="K199" i="18"/>
  <c r="O385" i="18"/>
  <c r="K420" i="18"/>
  <c r="K428" i="18"/>
  <c r="K431" i="18"/>
  <c r="O435" i="18"/>
  <c r="O455" i="18"/>
  <c r="O459" i="18"/>
  <c r="O568" i="18"/>
  <c r="K615" i="18"/>
  <c r="K626" i="18"/>
  <c r="K149" i="19"/>
  <c r="M222" i="19"/>
  <c r="M220" i="19" s="1"/>
  <c r="K235" i="19"/>
  <c r="K420" i="19"/>
  <c r="O435" i="19"/>
  <c r="O459" i="19"/>
  <c r="K465" i="19"/>
  <c r="K482" i="19"/>
  <c r="K82" i="20"/>
  <c r="L144" i="20"/>
  <c r="L142" i="20" s="1"/>
  <c r="L140" i="20" s="1"/>
  <c r="K173" i="20"/>
  <c r="K418" i="20"/>
  <c r="K421" i="20"/>
  <c r="K466" i="20"/>
  <c r="K497" i="20"/>
  <c r="O535" i="20"/>
  <c r="O566" i="20"/>
  <c r="K580" i="20"/>
  <c r="O599" i="20"/>
  <c r="K629" i="20"/>
  <c r="K633" i="20"/>
  <c r="P45" i="21"/>
  <c r="K138" i="21"/>
  <c r="K199" i="21"/>
  <c r="K204" i="21"/>
  <c r="K266" i="21"/>
  <c r="K285" i="21"/>
  <c r="K340" i="21"/>
  <c r="K377" i="21"/>
  <c r="K420" i="21"/>
  <c r="O435" i="21"/>
  <c r="O455" i="21"/>
  <c r="O580" i="21"/>
  <c r="O584" i="21"/>
  <c r="K620" i="21"/>
  <c r="K629" i="21"/>
  <c r="N273" i="17"/>
  <c r="N271" i="17" s="1"/>
  <c r="K328" i="17"/>
  <c r="N331" i="17"/>
  <c r="N329" i="17" s="1"/>
  <c r="K343" i="17"/>
  <c r="K429" i="17"/>
  <c r="L24" i="18"/>
  <c r="O24" i="18" s="1"/>
  <c r="L98" i="18"/>
  <c r="O98" i="18" s="1"/>
  <c r="L122" i="18"/>
  <c r="L120" i="18" s="1"/>
  <c r="O120" i="18" s="1"/>
  <c r="K189" i="18"/>
  <c r="K432" i="18"/>
  <c r="K270" i="19"/>
  <c r="K421" i="19"/>
  <c r="K432" i="19"/>
  <c r="K83" i="20"/>
  <c r="K164" i="20"/>
  <c r="N222" i="20"/>
  <c r="N220" i="20" s="1"/>
  <c r="L294" i="20"/>
  <c r="O294" i="20" s="1"/>
  <c r="K381" i="20"/>
  <c r="K589" i="20"/>
  <c r="K173" i="21"/>
  <c r="K189" i="21"/>
  <c r="K267" i="21"/>
  <c r="K328" i="21"/>
  <c r="L333" i="21"/>
  <c r="L331" i="21" s="1"/>
  <c r="K425" i="21"/>
  <c r="O439" i="21"/>
  <c r="O459" i="21"/>
  <c r="K465" i="21"/>
  <c r="K473" i="21"/>
  <c r="K591" i="21"/>
  <c r="K630" i="21"/>
  <c r="K149" i="17"/>
  <c r="L333" i="17"/>
  <c r="L331" i="17" s="1"/>
  <c r="L329" i="17" s="1"/>
  <c r="K418" i="17"/>
  <c r="O566" i="17"/>
  <c r="N33" i="17"/>
  <c r="N13" i="17" s="1"/>
  <c r="N292" i="18"/>
  <c r="N290" i="18" s="1"/>
  <c r="N331" i="18"/>
  <c r="N329" i="18" s="1"/>
  <c r="K589" i="18"/>
  <c r="N222" i="19"/>
  <c r="N220" i="19" s="1"/>
  <c r="K375" i="19"/>
  <c r="K499" i="19"/>
  <c r="K564" i="19"/>
  <c r="N33" i="20"/>
  <c r="N13" i="20" s="1"/>
  <c r="O584" i="20"/>
  <c r="K113" i="21"/>
  <c r="K621" i="21"/>
  <c r="K499" i="17"/>
  <c r="K633" i="17"/>
  <c r="K185" i="18"/>
  <c r="K450" i="18"/>
  <c r="O580" i="18"/>
  <c r="N22" i="19"/>
  <c r="L144" i="19"/>
  <c r="O144" i="19" s="1"/>
  <c r="K189" i="19"/>
  <c r="M331" i="19"/>
  <c r="M329" i="19" s="1"/>
  <c r="O599" i="19"/>
  <c r="N96" i="20"/>
  <c r="N94" i="20" s="1"/>
  <c r="O349" i="20"/>
  <c r="K435" i="20"/>
  <c r="N33" i="21"/>
  <c r="N13" i="21" s="1"/>
  <c r="K396" i="21"/>
  <c r="K499" i="21"/>
  <c r="O564" i="21"/>
  <c r="N222" i="17"/>
  <c r="N220" i="17" s="1"/>
  <c r="L314" i="17"/>
  <c r="O314" i="17" s="1"/>
  <c r="O337" i="17"/>
  <c r="K427" i="17"/>
  <c r="O459" i="17"/>
  <c r="K564" i="17"/>
  <c r="L24" i="19"/>
  <c r="O24" i="19" s="1"/>
  <c r="N331" i="19"/>
  <c r="N329" i="19" s="1"/>
  <c r="K372" i="19"/>
  <c r="K435" i="19"/>
  <c r="K474" i="19"/>
  <c r="N273" i="20"/>
  <c r="N271" i="20" s="1"/>
  <c r="O354" i="20"/>
  <c r="O435" i="20"/>
  <c r="O537" i="20"/>
  <c r="N222" i="21"/>
  <c r="N220" i="21" s="1"/>
  <c r="N312" i="21"/>
  <c r="N310" i="21" s="1"/>
  <c r="N331" i="21"/>
  <c r="N329" i="21" s="1"/>
  <c r="K401" i="21"/>
  <c r="K430" i="21"/>
  <c r="N31" i="21"/>
  <c r="N29" i="21" s="1"/>
  <c r="K547" i="21"/>
  <c r="O555" i="21"/>
  <c r="K189" i="17"/>
  <c r="K200" i="17"/>
  <c r="L224" i="17"/>
  <c r="O224" i="17" s="1"/>
  <c r="O349" i="17"/>
  <c r="K370" i="17"/>
  <c r="K416" i="17"/>
  <c r="O439" i="17"/>
  <c r="K473" i="17"/>
  <c r="K481" i="17"/>
  <c r="O564" i="17"/>
  <c r="O568" i="17"/>
  <c r="O597" i="17"/>
  <c r="O601" i="17"/>
  <c r="P337" i="18"/>
  <c r="K341" i="18"/>
  <c r="K377" i="18"/>
  <c r="K381" i="18"/>
  <c r="K427" i="18"/>
  <c r="K455" i="18"/>
  <c r="K158" i="19"/>
  <c r="K185" i="19"/>
  <c r="N312" i="19"/>
  <c r="N310" i="19" s="1"/>
  <c r="O406" i="19"/>
  <c r="K419" i="19"/>
  <c r="K423" i="19"/>
  <c r="K427" i="19"/>
  <c r="K455" i="19"/>
  <c r="K597" i="19"/>
  <c r="K81" i="20"/>
  <c r="K132" i="20"/>
  <c r="L275" i="20"/>
  <c r="L273" i="20" s="1"/>
  <c r="L271" i="20" s="1"/>
  <c r="K285" i="20"/>
  <c r="O383" i="20"/>
  <c r="O439" i="20"/>
  <c r="K481" i="20"/>
  <c r="K547" i="20"/>
  <c r="K595" i="20"/>
  <c r="K619" i="20"/>
  <c r="K186" i="21"/>
  <c r="K219" i="21"/>
  <c r="K270" i="21"/>
  <c r="P275" i="21"/>
  <c r="O354" i="21"/>
  <c r="O404" i="21"/>
  <c r="K423" i="21"/>
  <c r="K450" i="21"/>
  <c r="K455" i="21"/>
  <c r="K589" i="21"/>
  <c r="K593" i="21"/>
  <c r="K597" i="21"/>
  <c r="K628" i="21"/>
  <c r="I82" i="1"/>
  <c r="I86" i="1"/>
  <c r="I112" i="1"/>
  <c r="I371" i="1"/>
  <c r="K371" i="1" s="1"/>
  <c r="N33" i="3"/>
  <c r="N13" i="3" s="1"/>
  <c r="L33" i="3"/>
  <c r="O33" i="3" s="1"/>
  <c r="O554" i="3"/>
  <c r="O597" i="3"/>
  <c r="N597" i="1"/>
  <c r="N55" i="4"/>
  <c r="N53" i="4" s="1"/>
  <c r="N22" i="4"/>
  <c r="I219" i="1"/>
  <c r="L279" i="1"/>
  <c r="O279" i="1" s="1"/>
  <c r="I421" i="1"/>
  <c r="P122" i="2"/>
  <c r="M120" i="2"/>
  <c r="M118" i="2" s="1"/>
  <c r="I595" i="1"/>
  <c r="K595" i="3"/>
  <c r="P49" i="4"/>
  <c r="M26" i="4"/>
  <c r="O600" i="5"/>
  <c r="L33" i="5"/>
  <c r="O33" i="5" s="1"/>
  <c r="K573" i="3"/>
  <c r="I573" i="1"/>
  <c r="I474" i="1"/>
  <c r="I500" i="1"/>
  <c r="K500" i="1" s="1"/>
  <c r="I551" i="1"/>
  <c r="K597" i="2"/>
  <c r="J597" i="1"/>
  <c r="L600" i="1"/>
  <c r="O600" i="1" s="1"/>
  <c r="O600" i="2"/>
  <c r="I367" i="3"/>
  <c r="K367" i="3" s="1"/>
  <c r="O354" i="4"/>
  <c r="L34" i="4"/>
  <c r="K616" i="4"/>
  <c r="J616" i="1"/>
  <c r="N537" i="1"/>
  <c r="I594" i="1"/>
  <c r="K594" i="1" s="1"/>
  <c r="K594" i="2"/>
  <c r="L34" i="3"/>
  <c r="O583" i="3"/>
  <c r="L583" i="1"/>
  <c r="O583" i="1" s="1"/>
  <c r="L224" i="7"/>
  <c r="L222" i="7" s="1"/>
  <c r="L23" i="7"/>
  <c r="I490" i="1"/>
  <c r="K490" i="1" s="1"/>
  <c r="M222" i="3"/>
  <c r="M220" i="3" s="1"/>
  <c r="P224" i="3"/>
  <c r="J580" i="1"/>
  <c r="K580" i="3"/>
  <c r="K629" i="3"/>
  <c r="I629" i="1"/>
  <c r="N252" i="4"/>
  <c r="N250" i="4" s="1"/>
  <c r="O566" i="2"/>
  <c r="L566" i="1"/>
  <c r="L102" i="1"/>
  <c r="I430" i="1"/>
  <c r="L438" i="1"/>
  <c r="O438" i="1" s="1"/>
  <c r="I483" i="1"/>
  <c r="K483" i="1" s="1"/>
  <c r="K577" i="3"/>
  <c r="I577" i="1"/>
  <c r="K577" i="1" s="1"/>
  <c r="N331" i="4"/>
  <c r="N329" i="4" s="1"/>
  <c r="P333" i="4"/>
  <c r="J210" i="1"/>
  <c r="K249" i="2"/>
  <c r="O401" i="2"/>
  <c r="K417" i="2"/>
  <c r="K431" i="2"/>
  <c r="K466" i="2"/>
  <c r="K564" i="2"/>
  <c r="K626" i="2"/>
  <c r="K229" i="3"/>
  <c r="O347" i="3"/>
  <c r="K428" i="3"/>
  <c r="O439" i="3"/>
  <c r="O455" i="3"/>
  <c r="O601" i="3"/>
  <c r="L34" i="7"/>
  <c r="O385" i="7"/>
  <c r="M120" i="10"/>
  <c r="P120" i="10" s="1"/>
  <c r="M22" i="10"/>
  <c r="M12" i="10" s="1"/>
  <c r="P122" i="10"/>
  <c r="L32" i="11"/>
  <c r="L30" i="11" s="1"/>
  <c r="O383" i="11"/>
  <c r="K267" i="2"/>
  <c r="P275" i="2"/>
  <c r="K306" i="2"/>
  <c r="O349" i="2"/>
  <c r="K370" i="2"/>
  <c r="K421" i="2"/>
  <c r="K580" i="2"/>
  <c r="K628" i="2"/>
  <c r="L45" i="3"/>
  <c r="O45" i="3" s="1"/>
  <c r="L144" i="3"/>
  <c r="O144" i="3" s="1"/>
  <c r="N252" i="3"/>
  <c r="N250" i="3" s="1"/>
  <c r="N273" i="3"/>
  <c r="N271" i="3" s="1"/>
  <c r="K368" i="3"/>
  <c r="K375" i="3"/>
  <c r="K418" i="3"/>
  <c r="K432" i="3"/>
  <c r="O459" i="3"/>
  <c r="K465" i="3"/>
  <c r="K481" i="3"/>
  <c r="K497" i="3"/>
  <c r="K533" i="3"/>
  <c r="O568" i="3"/>
  <c r="O580" i="3"/>
  <c r="K617" i="3"/>
  <c r="K614" i="3"/>
  <c r="K630" i="3"/>
  <c r="N43" i="4"/>
  <c r="N41" i="4" s="1"/>
  <c r="K200" i="4"/>
  <c r="K343" i="4"/>
  <c r="L26" i="5"/>
  <c r="L16" i="5" s="1"/>
  <c r="O74" i="5"/>
  <c r="M22" i="7"/>
  <c r="M142" i="7"/>
  <c r="M140" i="7" s="1"/>
  <c r="P144" i="7"/>
  <c r="J217" i="1"/>
  <c r="P254" i="3"/>
  <c r="L294" i="3"/>
  <c r="L292" i="3" s="1"/>
  <c r="P337" i="3"/>
  <c r="K341" i="3"/>
  <c r="O406" i="3"/>
  <c r="K422" i="3"/>
  <c r="L23" i="4"/>
  <c r="O23" i="4" s="1"/>
  <c r="O49" i="5"/>
  <c r="N26" i="5"/>
  <c r="N16" i="5" s="1"/>
  <c r="N43" i="5"/>
  <c r="N41" i="5" s="1"/>
  <c r="O382" i="7"/>
  <c r="L31" i="7"/>
  <c r="L29" i="7" s="1"/>
  <c r="O566" i="7"/>
  <c r="L32" i="7"/>
  <c r="P333" i="2"/>
  <c r="K381" i="2"/>
  <c r="K402" i="2"/>
  <c r="K474" i="2"/>
  <c r="K573" i="2"/>
  <c r="J106" i="1"/>
  <c r="J213" i="1"/>
  <c r="K498" i="3"/>
  <c r="K611" i="3"/>
  <c r="P254" i="4"/>
  <c r="N273" i="7"/>
  <c r="N271" i="7" s="1"/>
  <c r="P45" i="2"/>
  <c r="P224" i="2"/>
  <c r="K350" i="2"/>
  <c r="O406" i="2"/>
  <c r="K426" i="2"/>
  <c r="K589" i="2"/>
  <c r="K621" i="2"/>
  <c r="P98" i="3"/>
  <c r="K149" i="3"/>
  <c r="K369" i="3"/>
  <c r="K430" i="3"/>
  <c r="K435" i="3"/>
  <c r="K450" i="3"/>
  <c r="O457" i="3"/>
  <c r="K597" i="3"/>
  <c r="K615" i="3"/>
  <c r="P144" i="4"/>
  <c r="O537" i="5"/>
  <c r="N34" i="5"/>
  <c r="O439" i="6"/>
  <c r="L34" i="6"/>
  <c r="O566" i="6"/>
  <c r="L32" i="6"/>
  <c r="L30" i="6" s="1"/>
  <c r="K309" i="2"/>
  <c r="K465" i="2"/>
  <c r="N33" i="2"/>
  <c r="N13" i="2" s="1"/>
  <c r="O584" i="2"/>
  <c r="O599" i="2"/>
  <c r="K615" i="2"/>
  <c r="K618" i="2"/>
  <c r="K625" i="2"/>
  <c r="K370" i="3"/>
  <c r="K377" i="3"/>
  <c r="K619" i="3"/>
  <c r="P122" i="4"/>
  <c r="N222" i="4"/>
  <c r="N220" i="4" s="1"/>
  <c r="N292" i="4"/>
  <c r="N290" i="4" s="1"/>
  <c r="N312" i="4"/>
  <c r="N310" i="4" s="1"/>
  <c r="K110" i="5"/>
  <c r="L294" i="6"/>
  <c r="O294" i="6" s="1"/>
  <c r="L23" i="6"/>
  <c r="O23" i="6" s="1"/>
  <c r="L33" i="6"/>
  <c r="O33" i="6" s="1"/>
  <c r="O353" i="6"/>
  <c r="N31" i="6"/>
  <c r="N29" i="6" s="1"/>
  <c r="K158" i="7"/>
  <c r="O405" i="7"/>
  <c r="L33" i="7"/>
  <c r="O33" i="7" s="1"/>
  <c r="L45" i="2"/>
  <c r="L43" i="2" s="1"/>
  <c r="K158" i="2"/>
  <c r="L224" i="2"/>
  <c r="O224" i="2" s="1"/>
  <c r="K265" i="2"/>
  <c r="J322" i="1"/>
  <c r="K341" i="2"/>
  <c r="K380" i="2"/>
  <c r="K401" i="2"/>
  <c r="K423" i="2"/>
  <c r="K482" i="2"/>
  <c r="J132" i="1"/>
  <c r="J138" i="1"/>
  <c r="N222" i="3"/>
  <c r="K328" i="3"/>
  <c r="K350" i="3"/>
  <c r="K381" i="3"/>
  <c r="O401" i="3"/>
  <c r="K420" i="3"/>
  <c r="K431" i="3"/>
  <c r="K499" i="3"/>
  <c r="P57" i="4"/>
  <c r="L122" i="4"/>
  <c r="O122" i="4" s="1"/>
  <c r="K199" i="4"/>
  <c r="K235" i="4"/>
  <c r="L294" i="4"/>
  <c r="O294" i="4" s="1"/>
  <c r="L314" i="4"/>
  <c r="O314" i="4" s="1"/>
  <c r="O436" i="6"/>
  <c r="L31" i="6"/>
  <c r="P333" i="7"/>
  <c r="K398" i="7"/>
  <c r="K432" i="4"/>
  <c r="O459" i="4"/>
  <c r="O601" i="4"/>
  <c r="K623" i="4"/>
  <c r="K635" i="4"/>
  <c r="K81" i="5"/>
  <c r="K84" i="5"/>
  <c r="L98" i="5"/>
  <c r="O98" i="5" s="1"/>
  <c r="K186" i="5"/>
  <c r="K229" i="5"/>
  <c r="K369" i="5"/>
  <c r="K376" i="5"/>
  <c r="K397" i="5"/>
  <c r="K417" i="5"/>
  <c r="K424" i="5"/>
  <c r="O435" i="5"/>
  <c r="K474" i="5"/>
  <c r="K573" i="5"/>
  <c r="K619" i="5"/>
  <c r="L98" i="6"/>
  <c r="L96" i="6" s="1"/>
  <c r="K110" i="6"/>
  <c r="M120" i="6"/>
  <c r="P120" i="6" s="1"/>
  <c r="K270" i="6"/>
  <c r="K285" i="6"/>
  <c r="K370" i="6"/>
  <c r="O404" i="6"/>
  <c r="K416" i="6"/>
  <c r="O553" i="6"/>
  <c r="K564" i="6"/>
  <c r="O599" i="6"/>
  <c r="K633" i="6"/>
  <c r="L57" i="7"/>
  <c r="L55" i="7" s="1"/>
  <c r="M252" i="7"/>
  <c r="P252" i="7" s="1"/>
  <c r="L314" i="7"/>
  <c r="O314" i="7" s="1"/>
  <c r="O352" i="7"/>
  <c r="K380" i="7"/>
  <c r="K402" i="7"/>
  <c r="K427" i="7"/>
  <c r="O459" i="7"/>
  <c r="K547" i="7"/>
  <c r="K633" i="7"/>
  <c r="N33" i="8"/>
  <c r="N13" i="8" s="1"/>
  <c r="K573" i="10"/>
  <c r="P314" i="11"/>
  <c r="M312" i="11"/>
  <c r="M310" i="11" s="1"/>
  <c r="P310" i="11" s="1"/>
  <c r="K396" i="4"/>
  <c r="K422" i="4"/>
  <c r="K108" i="5"/>
  <c r="K111" i="5"/>
  <c r="N312" i="5"/>
  <c r="N310" i="5" s="1"/>
  <c r="K398" i="5"/>
  <c r="K402" i="5"/>
  <c r="K418" i="5"/>
  <c r="K464" i="5"/>
  <c r="K616" i="5"/>
  <c r="K164" i="6"/>
  <c r="K189" i="6"/>
  <c r="K266" i="6"/>
  <c r="K340" i="6"/>
  <c r="L24" i="7"/>
  <c r="N252" i="7"/>
  <c r="N250" i="7" s="1"/>
  <c r="M292" i="10"/>
  <c r="P292" i="10" s="1"/>
  <c r="P294" i="10"/>
  <c r="M68" i="15"/>
  <c r="P68" i="15" s="1"/>
  <c r="P70" i="15"/>
  <c r="N26" i="17"/>
  <c r="N16" i="17" s="1"/>
  <c r="N142" i="17"/>
  <c r="N140" i="17" s="1"/>
  <c r="O380" i="4"/>
  <c r="K426" i="4"/>
  <c r="O437" i="4"/>
  <c r="K482" i="4"/>
  <c r="K498" i="4"/>
  <c r="K629" i="4"/>
  <c r="N120" i="5"/>
  <c r="N118" i="5" s="1"/>
  <c r="N142" i="5"/>
  <c r="N140" i="5" s="1"/>
  <c r="P224" i="5"/>
  <c r="L275" i="5"/>
  <c r="K533" i="5"/>
  <c r="O568" i="5"/>
  <c r="K632" i="5"/>
  <c r="K111" i="6"/>
  <c r="L333" i="6"/>
  <c r="L331" i="6" s="1"/>
  <c r="O347" i="6"/>
  <c r="K375" i="6"/>
  <c r="K417" i="6"/>
  <c r="K420" i="6"/>
  <c r="K430" i="6"/>
  <c r="K620" i="6"/>
  <c r="K626" i="6"/>
  <c r="P98" i="7"/>
  <c r="K186" i="7"/>
  <c r="K560" i="7"/>
  <c r="N222" i="5"/>
  <c r="N220" i="5" s="1"/>
  <c r="M102" i="6"/>
  <c r="M96" i="6" s="1"/>
  <c r="K595" i="6"/>
  <c r="O597" i="6"/>
  <c r="K628" i="6"/>
  <c r="K631" i="6"/>
  <c r="L98" i="7"/>
  <c r="L96" i="7" s="1"/>
  <c r="O347" i="7"/>
  <c r="K401" i="7"/>
  <c r="K425" i="7"/>
  <c r="K466" i="7"/>
  <c r="K482" i="7"/>
  <c r="K498" i="7"/>
  <c r="O533" i="7"/>
  <c r="O597" i="7"/>
  <c r="L45" i="8"/>
  <c r="O298" i="8"/>
  <c r="L26" i="8"/>
  <c r="L16" i="8" s="1"/>
  <c r="K614" i="8"/>
  <c r="N43" i="9"/>
  <c r="N41" i="9" s="1"/>
  <c r="N31" i="9"/>
  <c r="N29" i="9" s="1"/>
  <c r="K630" i="10"/>
  <c r="L294" i="11"/>
  <c r="O294" i="11" s="1"/>
  <c r="O537" i="4"/>
  <c r="O566" i="4"/>
  <c r="O102" i="5"/>
  <c r="K189" i="5"/>
  <c r="N252" i="5"/>
  <c r="N250" i="5" s="1"/>
  <c r="K266" i="5"/>
  <c r="K611" i="5"/>
  <c r="K614" i="5"/>
  <c r="O49" i="6"/>
  <c r="K289" i="6"/>
  <c r="P314" i="6"/>
  <c r="K341" i="6"/>
  <c r="K349" i="6"/>
  <c r="K372" i="6"/>
  <c r="K376" i="6"/>
  <c r="K421" i="6"/>
  <c r="K450" i="6"/>
  <c r="K612" i="8"/>
  <c r="K619" i="8"/>
  <c r="K615" i="8"/>
  <c r="K611" i="8"/>
  <c r="M273" i="10"/>
  <c r="M271" i="10" s="1"/>
  <c r="P275" i="10"/>
  <c r="O534" i="10"/>
  <c r="L31" i="10"/>
  <c r="L11" i="10" s="1"/>
  <c r="L31" i="12"/>
  <c r="L11" i="12" s="1"/>
  <c r="O436" i="12"/>
  <c r="K341" i="4"/>
  <c r="K398" i="4"/>
  <c r="K499" i="4"/>
  <c r="K615" i="4"/>
  <c r="K634" i="4"/>
  <c r="N55" i="5"/>
  <c r="N53" i="5" s="1"/>
  <c r="L70" i="5"/>
  <c r="O70" i="5" s="1"/>
  <c r="K92" i="5"/>
  <c r="K164" i="5"/>
  <c r="L254" i="5"/>
  <c r="O254" i="5" s="1"/>
  <c r="K420" i="5"/>
  <c r="K423" i="5"/>
  <c r="K427" i="5"/>
  <c r="K435" i="5"/>
  <c r="L122" i="6"/>
  <c r="O122" i="6" s="1"/>
  <c r="P144" i="6"/>
  <c r="O102" i="7"/>
  <c r="M337" i="7"/>
  <c r="P337" i="7" s="1"/>
  <c r="O353" i="10"/>
  <c r="L33" i="10"/>
  <c r="O33" i="10" s="1"/>
  <c r="O385" i="4"/>
  <c r="K402" i="4"/>
  <c r="K474" i="4"/>
  <c r="K573" i="4"/>
  <c r="P49" i="5"/>
  <c r="L57" i="5"/>
  <c r="O57" i="5" s="1"/>
  <c r="K80" i="5"/>
  <c r="K158" i="5"/>
  <c r="P337" i="5"/>
  <c r="O457" i="5"/>
  <c r="K473" i="5"/>
  <c r="K499" i="5"/>
  <c r="K597" i="5"/>
  <c r="K615" i="5"/>
  <c r="K618" i="5"/>
  <c r="M68" i="6"/>
  <c r="P68" i="6" s="1"/>
  <c r="K93" i="6"/>
  <c r="L144" i="6"/>
  <c r="O144" i="6" s="1"/>
  <c r="K229" i="6"/>
  <c r="K265" i="6"/>
  <c r="P275" i="6"/>
  <c r="K324" i="6"/>
  <c r="K401" i="6"/>
  <c r="K432" i="6"/>
  <c r="O533" i="6"/>
  <c r="K612" i="6"/>
  <c r="N22" i="7"/>
  <c r="K93" i="7"/>
  <c r="M102" i="7"/>
  <c r="L122" i="7"/>
  <c r="L120" i="7" s="1"/>
  <c r="O120" i="7" s="1"/>
  <c r="K219" i="7"/>
  <c r="N222" i="7"/>
  <c r="N220" i="7" s="1"/>
  <c r="K368" i="7"/>
  <c r="K420" i="7"/>
  <c r="K464" i="7"/>
  <c r="O537" i="7"/>
  <c r="O553" i="7"/>
  <c r="K593" i="7"/>
  <c r="K614" i="7"/>
  <c r="K611" i="7"/>
  <c r="K612" i="7"/>
  <c r="K619" i="7"/>
  <c r="N32" i="8"/>
  <c r="N30" i="8" s="1"/>
  <c r="O354" i="9"/>
  <c r="L34" i="9"/>
  <c r="O459" i="10"/>
  <c r="L34" i="10"/>
  <c r="P70" i="8"/>
  <c r="K133" i="8"/>
  <c r="M312" i="8"/>
  <c r="P312" i="8" s="1"/>
  <c r="P337" i="8"/>
  <c r="N31" i="8"/>
  <c r="O597" i="8"/>
  <c r="K465" i="9"/>
  <c r="M43" i="10"/>
  <c r="K65" i="10"/>
  <c r="K219" i="10"/>
  <c r="O352" i="10"/>
  <c r="K376" i="10"/>
  <c r="K464" i="10"/>
  <c r="O533" i="10"/>
  <c r="K564" i="10"/>
  <c r="K65" i="11"/>
  <c r="K173" i="11"/>
  <c r="K270" i="11"/>
  <c r="P294" i="11"/>
  <c r="P333" i="11"/>
  <c r="K343" i="11"/>
  <c r="O406" i="11"/>
  <c r="K422" i="11"/>
  <c r="L33" i="12"/>
  <c r="O33" i="12" s="1"/>
  <c r="O554" i="12"/>
  <c r="K343" i="13"/>
  <c r="O380" i="14"/>
  <c r="K625" i="7"/>
  <c r="L23" i="8"/>
  <c r="O23" i="8" s="1"/>
  <c r="L98" i="8"/>
  <c r="L96" i="8" s="1"/>
  <c r="O96" i="8" s="1"/>
  <c r="M120" i="8"/>
  <c r="M118" i="8" s="1"/>
  <c r="K149" i="8"/>
  <c r="L254" i="8"/>
  <c r="O254" i="8" s="1"/>
  <c r="O349" i="8"/>
  <c r="K396" i="8"/>
  <c r="O406" i="8"/>
  <c r="O439" i="8"/>
  <c r="K499" i="8"/>
  <c r="O537" i="8"/>
  <c r="K617" i="8"/>
  <c r="K629" i="8"/>
  <c r="O74" i="9"/>
  <c r="K84" i="9"/>
  <c r="L98" i="9"/>
  <c r="O98" i="9" s="1"/>
  <c r="K149" i="9"/>
  <c r="K229" i="9"/>
  <c r="P333" i="9"/>
  <c r="K343" i="9"/>
  <c r="K426" i="9"/>
  <c r="K430" i="9"/>
  <c r="K497" i="9"/>
  <c r="N34" i="9"/>
  <c r="K625" i="9"/>
  <c r="L70" i="10"/>
  <c r="O70" i="10" s="1"/>
  <c r="K80" i="10"/>
  <c r="K87" i="10"/>
  <c r="K93" i="10"/>
  <c r="K111" i="10"/>
  <c r="K158" i="10"/>
  <c r="N252" i="10"/>
  <c r="N250" i="10" s="1"/>
  <c r="K370" i="10"/>
  <c r="K397" i="10"/>
  <c r="O401" i="10"/>
  <c r="K420" i="10"/>
  <c r="K449" i="10"/>
  <c r="O537" i="10"/>
  <c r="P70" i="11"/>
  <c r="K133" i="11"/>
  <c r="K189" i="11"/>
  <c r="K285" i="11"/>
  <c r="K328" i="11"/>
  <c r="O354" i="11"/>
  <c r="N31" i="11"/>
  <c r="N11" i="11" s="1"/>
  <c r="N9" i="11" s="1"/>
  <c r="K419" i="11"/>
  <c r="K426" i="11"/>
  <c r="O437" i="11"/>
  <c r="L57" i="14"/>
  <c r="O57" i="14" s="1"/>
  <c r="K377" i="14"/>
  <c r="K620" i="7"/>
  <c r="K623" i="7"/>
  <c r="N142" i="8"/>
  <c r="N140" i="8" s="1"/>
  <c r="K343" i="8"/>
  <c r="O564" i="8"/>
  <c r="K630" i="8"/>
  <c r="K81" i="9"/>
  <c r="P275" i="9"/>
  <c r="O457" i="9"/>
  <c r="L24" i="10"/>
  <c r="O24" i="10" s="1"/>
  <c r="K108" i="10"/>
  <c r="N33" i="10"/>
  <c r="N13" i="10" s="1"/>
  <c r="N32" i="10"/>
  <c r="N30" i="10" s="1"/>
  <c r="O564" i="10"/>
  <c r="N34" i="10"/>
  <c r="N14" i="10" s="1"/>
  <c r="N43" i="11"/>
  <c r="N41" i="11" s="1"/>
  <c r="K158" i="11"/>
  <c r="K235" i="11"/>
  <c r="K341" i="11"/>
  <c r="K416" i="11"/>
  <c r="K420" i="11"/>
  <c r="K427" i="11"/>
  <c r="K419" i="13"/>
  <c r="M49" i="8"/>
  <c r="M43" i="8" s="1"/>
  <c r="N68" i="8"/>
  <c r="P68" i="8" s="1"/>
  <c r="K117" i="8"/>
  <c r="L144" i="8"/>
  <c r="O144" i="8" s="1"/>
  <c r="K416" i="8"/>
  <c r="K423" i="8"/>
  <c r="O102" i="9"/>
  <c r="L122" i="9"/>
  <c r="O122" i="9" s="1"/>
  <c r="L144" i="9"/>
  <c r="O144" i="9" s="1"/>
  <c r="N22" i="9"/>
  <c r="L275" i="9"/>
  <c r="O275" i="9" s="1"/>
  <c r="K285" i="9"/>
  <c r="K341" i="9"/>
  <c r="K349" i="9"/>
  <c r="K372" i="9"/>
  <c r="K376" i="9"/>
  <c r="K397" i="9"/>
  <c r="K417" i="9"/>
  <c r="K424" i="9"/>
  <c r="K481" i="9"/>
  <c r="K564" i="9"/>
  <c r="K628" i="9"/>
  <c r="K81" i="10"/>
  <c r="K85" i="10"/>
  <c r="L333" i="10"/>
  <c r="O333" i="10" s="1"/>
  <c r="K428" i="10"/>
  <c r="K631" i="7"/>
  <c r="K435" i="8"/>
  <c r="K533" i="8"/>
  <c r="K597" i="8"/>
  <c r="L24" i="9"/>
  <c r="K421" i="9"/>
  <c r="K428" i="9"/>
  <c r="O435" i="9"/>
  <c r="L33" i="9"/>
  <c r="O33" i="9" s="1"/>
  <c r="N26" i="10"/>
  <c r="N16" i="10" s="1"/>
  <c r="N142" i="10"/>
  <c r="N140" i="10" s="1"/>
  <c r="K341" i="10"/>
  <c r="K473" i="10"/>
  <c r="K591" i="10"/>
  <c r="K635" i="10"/>
  <c r="P45" i="11"/>
  <c r="K93" i="11"/>
  <c r="K111" i="11"/>
  <c r="P122" i="11"/>
  <c r="K229" i="11"/>
  <c r="O349" i="11"/>
  <c r="K370" i="11"/>
  <c r="K377" i="11"/>
  <c r="O401" i="11"/>
  <c r="K424" i="11"/>
  <c r="K428" i="11"/>
  <c r="O435" i="11"/>
  <c r="O439" i="11"/>
  <c r="L57" i="13"/>
  <c r="O57" i="13" s="1"/>
  <c r="L23" i="13"/>
  <c r="O23" i="13" s="1"/>
  <c r="K80" i="14"/>
  <c r="K621" i="7"/>
  <c r="K624" i="7"/>
  <c r="K164" i="8"/>
  <c r="K189" i="8"/>
  <c r="K200" i="8"/>
  <c r="K270" i="8"/>
  <c r="K427" i="8"/>
  <c r="L224" i="9"/>
  <c r="O224" i="9" s="1"/>
  <c r="N252" i="9"/>
  <c r="N250" i="9" s="1"/>
  <c r="K345" i="9"/>
  <c r="N33" i="9"/>
  <c r="N13" i="9" s="1"/>
  <c r="K425" i="9"/>
  <c r="K432" i="9"/>
  <c r="O455" i="9"/>
  <c r="K617" i="9"/>
  <c r="K624" i="9"/>
  <c r="L23" i="10"/>
  <c r="O23" i="10" s="1"/>
  <c r="L144" i="10"/>
  <c r="O144" i="10" s="1"/>
  <c r="K429" i="10"/>
  <c r="N120" i="11"/>
  <c r="N118" i="11" s="1"/>
  <c r="K381" i="11"/>
  <c r="K398" i="11"/>
  <c r="M96" i="12"/>
  <c r="P96" i="12" s="1"/>
  <c r="P98" i="12"/>
  <c r="M53" i="13"/>
  <c r="K593" i="13"/>
  <c r="K266" i="8"/>
  <c r="K285" i="8"/>
  <c r="P294" i="8"/>
  <c r="K372" i="8"/>
  <c r="K424" i="8"/>
  <c r="K455" i="8"/>
  <c r="K466" i="8"/>
  <c r="K482" i="8"/>
  <c r="K498" i="8"/>
  <c r="K623" i="8"/>
  <c r="N55" i="9"/>
  <c r="P55" i="9" s="1"/>
  <c r="K83" i="9"/>
  <c r="P98" i="9"/>
  <c r="K158" i="9"/>
  <c r="K235" i="9"/>
  <c r="L254" i="9"/>
  <c r="L252" i="9" s="1"/>
  <c r="O252" i="9" s="1"/>
  <c r="L31" i="9"/>
  <c r="L11" i="9" s="1"/>
  <c r="N32" i="9"/>
  <c r="N30" i="9" s="1"/>
  <c r="K621" i="9"/>
  <c r="K92" i="10"/>
  <c r="N222" i="10"/>
  <c r="N220" i="10" s="1"/>
  <c r="K345" i="10"/>
  <c r="O383" i="10"/>
  <c r="K401" i="10"/>
  <c r="K426" i="10"/>
  <c r="O601" i="10"/>
  <c r="M68" i="11"/>
  <c r="N222" i="11"/>
  <c r="N220" i="11" s="1"/>
  <c r="K432" i="11"/>
  <c r="K593" i="11"/>
  <c r="O599" i="11"/>
  <c r="K611" i="11"/>
  <c r="K634" i="11"/>
  <c r="L144" i="12"/>
  <c r="O144" i="12" s="1"/>
  <c r="K173" i="12"/>
  <c r="K219" i="12"/>
  <c r="K623" i="12"/>
  <c r="M68" i="17"/>
  <c r="P70" i="17"/>
  <c r="K619" i="17"/>
  <c r="K611" i="17"/>
  <c r="K614" i="17"/>
  <c r="O406" i="18"/>
  <c r="N34" i="18"/>
  <c r="L33" i="21"/>
  <c r="O33" i="21" s="1"/>
  <c r="O438" i="21"/>
  <c r="O535" i="11"/>
  <c r="K597" i="11"/>
  <c r="K81" i="12"/>
  <c r="L224" i="12"/>
  <c r="L222" i="12" s="1"/>
  <c r="L220" i="12" s="1"/>
  <c r="N252" i="12"/>
  <c r="N250" i="12" s="1"/>
  <c r="K285" i="12"/>
  <c r="O337" i="12"/>
  <c r="O349" i="12"/>
  <c r="K370" i="12"/>
  <c r="K377" i="12"/>
  <c r="O401" i="12"/>
  <c r="K420" i="12"/>
  <c r="K424" i="12"/>
  <c r="O455" i="12"/>
  <c r="K620" i="12"/>
  <c r="L70" i="13"/>
  <c r="O70" i="13" s="1"/>
  <c r="K92" i="13"/>
  <c r="P98" i="13"/>
  <c r="K138" i="13"/>
  <c r="P144" i="13"/>
  <c r="K328" i="13"/>
  <c r="K376" i="13"/>
  <c r="O380" i="13"/>
  <c r="O383" i="13"/>
  <c r="K401" i="13"/>
  <c r="K422" i="13"/>
  <c r="K425" i="13"/>
  <c r="K450" i="13"/>
  <c r="K465" i="13"/>
  <c r="K481" i="13"/>
  <c r="K497" i="13"/>
  <c r="K551" i="13"/>
  <c r="K564" i="13"/>
  <c r="O584" i="13"/>
  <c r="K65" i="14"/>
  <c r="K173" i="14"/>
  <c r="K219" i="14"/>
  <c r="K270" i="14"/>
  <c r="P275" i="14"/>
  <c r="M312" i="14"/>
  <c r="P312" i="14" s="1"/>
  <c r="K419" i="14"/>
  <c r="K426" i="14"/>
  <c r="O437" i="14"/>
  <c r="O457" i="14"/>
  <c r="K473" i="14"/>
  <c r="O599" i="14"/>
  <c r="K611" i="14"/>
  <c r="K618" i="14"/>
  <c r="K621" i="14"/>
  <c r="K624" i="14"/>
  <c r="L144" i="15"/>
  <c r="O144" i="15" s="1"/>
  <c r="O457" i="17"/>
  <c r="O457" i="11"/>
  <c r="K473" i="11"/>
  <c r="K623" i="11"/>
  <c r="K158" i="12"/>
  <c r="K189" i="12"/>
  <c r="K200" i="12"/>
  <c r="K350" i="12"/>
  <c r="K402" i="12"/>
  <c r="K428" i="12"/>
  <c r="K449" i="12"/>
  <c r="K573" i="12"/>
  <c r="K589" i="12"/>
  <c r="K617" i="12"/>
  <c r="L24" i="13"/>
  <c r="L98" i="13"/>
  <c r="O98" i="13" s="1"/>
  <c r="K108" i="13"/>
  <c r="L122" i="13"/>
  <c r="O122" i="13" s="1"/>
  <c r="L144" i="13"/>
  <c r="L142" i="13" s="1"/>
  <c r="K219" i="13"/>
  <c r="L224" i="13"/>
  <c r="O224" i="13" s="1"/>
  <c r="O401" i="13"/>
  <c r="O404" i="13"/>
  <c r="K426" i="13"/>
  <c r="K429" i="13"/>
  <c r="O457" i="13"/>
  <c r="O535" i="13"/>
  <c r="K547" i="13"/>
  <c r="O551" i="13"/>
  <c r="O564" i="13"/>
  <c r="K614" i="13"/>
  <c r="K625" i="13"/>
  <c r="K633" i="13"/>
  <c r="L45" i="14"/>
  <c r="O45" i="14" s="1"/>
  <c r="K158" i="14"/>
  <c r="K249" i="14"/>
  <c r="P254" i="14"/>
  <c r="K328" i="14"/>
  <c r="K350" i="14"/>
  <c r="K427" i="14"/>
  <c r="K474" i="14"/>
  <c r="O533" i="14"/>
  <c r="K164" i="15"/>
  <c r="O347" i="12"/>
  <c r="K368" i="12"/>
  <c r="K418" i="12"/>
  <c r="N312" i="13"/>
  <c r="N310" i="13" s="1"/>
  <c r="N32" i="13"/>
  <c r="N30" i="13" s="1"/>
  <c r="N26" i="14"/>
  <c r="N16" i="14" s="1"/>
  <c r="N34" i="14"/>
  <c r="N14" i="14" s="1"/>
  <c r="N32" i="14"/>
  <c r="K619" i="14"/>
  <c r="K625" i="14"/>
  <c r="K158" i="15"/>
  <c r="P254" i="15"/>
  <c r="K474" i="11"/>
  <c r="K617" i="11"/>
  <c r="N31" i="12"/>
  <c r="N29" i="12" s="1"/>
  <c r="O406" i="12"/>
  <c r="K429" i="12"/>
  <c r="O457" i="12"/>
  <c r="K473" i="12"/>
  <c r="K630" i="12"/>
  <c r="N331" i="13"/>
  <c r="N329" i="13" s="1"/>
  <c r="K398" i="13"/>
  <c r="K417" i="13"/>
  <c r="K473" i="13"/>
  <c r="O568" i="13"/>
  <c r="P144" i="14"/>
  <c r="L254" i="14"/>
  <c r="O254" i="14" s="1"/>
  <c r="O347" i="14"/>
  <c r="K368" i="14"/>
  <c r="K372" i="14"/>
  <c r="K398" i="14"/>
  <c r="L23" i="15"/>
  <c r="O23" i="15" s="1"/>
  <c r="L70" i="15"/>
  <c r="O70" i="15" s="1"/>
  <c r="K80" i="15"/>
  <c r="K109" i="15"/>
  <c r="K149" i="15"/>
  <c r="P224" i="15"/>
  <c r="L26" i="16"/>
  <c r="L16" i="16" s="1"/>
  <c r="O49" i="16"/>
  <c r="M49" i="16"/>
  <c r="P49" i="16" s="1"/>
  <c r="M273" i="16"/>
  <c r="M271" i="16" s="1"/>
  <c r="P275" i="16"/>
  <c r="K612" i="11"/>
  <c r="K614" i="11"/>
  <c r="K372" i="12"/>
  <c r="N96" i="13"/>
  <c r="N94" i="13" s="1"/>
  <c r="N292" i="13"/>
  <c r="N290" i="13" s="1"/>
  <c r="N34" i="13"/>
  <c r="N14" i="13" s="1"/>
  <c r="N31" i="14"/>
  <c r="N29" i="14" s="1"/>
  <c r="K465" i="14"/>
  <c r="K482" i="14"/>
  <c r="K573" i="14"/>
  <c r="K589" i="14"/>
  <c r="O601" i="14"/>
  <c r="K623" i="14"/>
  <c r="N66" i="15"/>
  <c r="N222" i="15"/>
  <c r="N220" i="15" s="1"/>
  <c r="M120" i="17"/>
  <c r="P122" i="17"/>
  <c r="O455" i="11"/>
  <c r="O580" i="11"/>
  <c r="K630" i="11"/>
  <c r="L45" i="12"/>
  <c r="O45" i="12" s="1"/>
  <c r="N142" i="12"/>
  <c r="N140" i="12" s="1"/>
  <c r="K341" i="12"/>
  <c r="K416" i="12"/>
  <c r="K423" i="12"/>
  <c r="K474" i="12"/>
  <c r="K612" i="12"/>
  <c r="K619" i="12"/>
  <c r="K631" i="12"/>
  <c r="N68" i="13"/>
  <c r="N66" i="13" s="1"/>
  <c r="K158" i="13"/>
  <c r="K380" i="13"/>
  <c r="K418" i="13"/>
  <c r="K421" i="13"/>
  <c r="O437" i="13"/>
  <c r="K449" i="13"/>
  <c r="K464" i="13"/>
  <c r="K595" i="13"/>
  <c r="K635" i="13"/>
  <c r="N55" i="14"/>
  <c r="N53" i="14" s="1"/>
  <c r="L24" i="14"/>
  <c r="O24" i="14" s="1"/>
  <c r="N292" i="14"/>
  <c r="N290" i="14" s="1"/>
  <c r="L314" i="14"/>
  <c r="K341" i="14"/>
  <c r="K418" i="14"/>
  <c r="O535" i="14"/>
  <c r="O564" i="14"/>
  <c r="O580" i="14"/>
  <c r="K617" i="14"/>
  <c r="K626" i="14"/>
  <c r="K84" i="15"/>
  <c r="K110" i="15"/>
  <c r="L122" i="15"/>
  <c r="O122" i="15" s="1"/>
  <c r="P144" i="15"/>
  <c r="N96" i="17"/>
  <c r="N94" i="17" s="1"/>
  <c r="P98" i="17"/>
  <c r="N252" i="17"/>
  <c r="N250" i="17" s="1"/>
  <c r="P254" i="17"/>
  <c r="L333" i="15"/>
  <c r="L331" i="15" s="1"/>
  <c r="L329" i="15" s="1"/>
  <c r="K401" i="15"/>
  <c r="K416" i="15"/>
  <c r="K158" i="16"/>
  <c r="P224" i="16"/>
  <c r="P254" i="16"/>
  <c r="K381" i="16"/>
  <c r="K398" i="16"/>
  <c r="K402" i="16"/>
  <c r="K418" i="16"/>
  <c r="K425" i="16"/>
  <c r="O601" i="16"/>
  <c r="K623" i="16"/>
  <c r="K626" i="16"/>
  <c r="K109" i="17"/>
  <c r="K423" i="17"/>
  <c r="K435" i="17"/>
  <c r="K455" i="17"/>
  <c r="O584" i="17"/>
  <c r="N43" i="18"/>
  <c r="N41" i="18" s="1"/>
  <c r="K80" i="18"/>
  <c r="L144" i="18"/>
  <c r="K229" i="18"/>
  <c r="L275" i="18"/>
  <c r="L273" i="18" s="1"/>
  <c r="L271" i="18" s="1"/>
  <c r="O271" i="18" s="1"/>
  <c r="K370" i="19"/>
  <c r="O382" i="19"/>
  <c r="L31" i="19"/>
  <c r="O31" i="19" s="1"/>
  <c r="O354" i="15"/>
  <c r="K420" i="15"/>
  <c r="K449" i="15"/>
  <c r="K533" i="15"/>
  <c r="K619" i="15"/>
  <c r="K628" i="16"/>
  <c r="L26" i="17"/>
  <c r="K397" i="17"/>
  <c r="K420" i="17"/>
  <c r="K424" i="17"/>
  <c r="K431" i="17"/>
  <c r="O435" i="17"/>
  <c r="K464" i="17"/>
  <c r="K474" i="17"/>
  <c r="P294" i="19"/>
  <c r="M292" i="19"/>
  <c r="M290" i="19" s="1"/>
  <c r="P290" i="19" s="1"/>
  <c r="L70" i="21"/>
  <c r="O70" i="21" s="1"/>
  <c r="L24" i="21"/>
  <c r="O24" i="21" s="1"/>
  <c r="L254" i="16"/>
  <c r="O254" i="16" s="1"/>
  <c r="K350" i="16"/>
  <c r="O385" i="16"/>
  <c r="O406" i="16"/>
  <c r="K619" i="16"/>
  <c r="K617" i="16"/>
  <c r="L122" i="17"/>
  <c r="O122" i="17" s="1"/>
  <c r="K132" i="17"/>
  <c r="K267" i="17"/>
  <c r="K340" i="17"/>
  <c r="K350" i="17"/>
  <c r="K81" i="18"/>
  <c r="K164" i="18"/>
  <c r="P224" i="18"/>
  <c r="M273" i="18"/>
  <c r="P273" i="18" s="1"/>
  <c r="I367" i="18"/>
  <c r="K367" i="18" s="1"/>
  <c r="K371" i="18"/>
  <c r="O353" i="19"/>
  <c r="L33" i="19"/>
  <c r="O33" i="19" s="1"/>
  <c r="O148" i="20"/>
  <c r="L26" i="20"/>
  <c r="O553" i="21"/>
  <c r="N32" i="21"/>
  <c r="N30" i="21" s="1"/>
  <c r="P275" i="15"/>
  <c r="K417" i="15"/>
  <c r="K616" i="15"/>
  <c r="K628" i="15"/>
  <c r="N68" i="16"/>
  <c r="N66" i="16" s="1"/>
  <c r="P122" i="16"/>
  <c r="L333" i="16"/>
  <c r="K611" i="16"/>
  <c r="K614" i="16"/>
  <c r="M49" i="17"/>
  <c r="P144" i="17"/>
  <c r="M337" i="17"/>
  <c r="P337" i="17" s="1"/>
  <c r="N222" i="18"/>
  <c r="P222" i="18" s="1"/>
  <c r="N31" i="19"/>
  <c r="M292" i="21"/>
  <c r="M290" i="21" s="1"/>
  <c r="P290" i="21" s="1"/>
  <c r="P294" i="21"/>
  <c r="K264" i="15"/>
  <c r="K267" i="15"/>
  <c r="L275" i="15"/>
  <c r="O275" i="15" s="1"/>
  <c r="K375" i="15"/>
  <c r="K402" i="15"/>
  <c r="K421" i="15"/>
  <c r="K428" i="15"/>
  <c r="O566" i="15"/>
  <c r="K595" i="15"/>
  <c r="K620" i="15"/>
  <c r="L70" i="16"/>
  <c r="O70" i="16" s="1"/>
  <c r="L122" i="16"/>
  <c r="O122" i="16" s="1"/>
  <c r="K401" i="16"/>
  <c r="K423" i="16"/>
  <c r="K450" i="16"/>
  <c r="O457" i="16"/>
  <c r="K473" i="16"/>
  <c r="K533" i="16"/>
  <c r="K597" i="16"/>
  <c r="M102" i="17"/>
  <c r="L144" i="17"/>
  <c r="O144" i="17" s="1"/>
  <c r="N292" i="17"/>
  <c r="N290" i="17" s="1"/>
  <c r="K421" i="17"/>
  <c r="K591" i="17"/>
  <c r="K632" i="17"/>
  <c r="K635" i="17"/>
  <c r="O49" i="18"/>
  <c r="K82" i="18"/>
  <c r="K88" i="18"/>
  <c r="K149" i="18"/>
  <c r="K176" i="18"/>
  <c r="K186" i="18"/>
  <c r="K201" i="18"/>
  <c r="K422" i="19"/>
  <c r="M22" i="20"/>
  <c r="M273" i="20"/>
  <c r="M271" i="20" s="1"/>
  <c r="P275" i="20"/>
  <c r="L34" i="20"/>
  <c r="O601" i="20"/>
  <c r="M222" i="21"/>
  <c r="M220" i="21" s="1"/>
  <c r="P224" i="21"/>
  <c r="M22" i="21"/>
  <c r="M12" i="21" s="1"/>
  <c r="P314" i="21"/>
  <c r="M312" i="21"/>
  <c r="O537" i="15"/>
  <c r="K624" i="15"/>
  <c r="K199" i="16"/>
  <c r="M222" i="16"/>
  <c r="K349" i="16"/>
  <c r="O383" i="16"/>
  <c r="O404" i="16"/>
  <c r="K497" i="16"/>
  <c r="K615" i="16"/>
  <c r="K618" i="16"/>
  <c r="K625" i="16"/>
  <c r="P312" i="18"/>
  <c r="M310" i="18"/>
  <c r="P310" i="18" s="1"/>
  <c r="M252" i="19"/>
  <c r="P252" i="19" s="1"/>
  <c r="P254" i="19"/>
  <c r="M22" i="19"/>
  <c r="M20" i="19" s="1"/>
  <c r="N331" i="15"/>
  <c r="K340" i="15"/>
  <c r="K380" i="15"/>
  <c r="K396" i="15"/>
  <c r="K432" i="15"/>
  <c r="K464" i="15"/>
  <c r="K564" i="15"/>
  <c r="K589" i="15"/>
  <c r="K611" i="15"/>
  <c r="K614" i="15"/>
  <c r="O337" i="16"/>
  <c r="K345" i="16"/>
  <c r="O352" i="16"/>
  <c r="K376" i="16"/>
  <c r="O380" i="16"/>
  <c r="K397" i="16"/>
  <c r="O401" i="16"/>
  <c r="K417" i="16"/>
  <c r="N33" i="16"/>
  <c r="N13" i="16" s="1"/>
  <c r="K455" i="16"/>
  <c r="K474" i="16"/>
  <c r="N31" i="16"/>
  <c r="N29" i="16" s="1"/>
  <c r="K580" i="16"/>
  <c r="K591" i="16"/>
  <c r="K612" i="16"/>
  <c r="K630" i="16"/>
  <c r="K65" i="17"/>
  <c r="K349" i="17"/>
  <c r="K372" i="17"/>
  <c r="K380" i="17"/>
  <c r="O406" i="17"/>
  <c r="K430" i="17"/>
  <c r="K450" i="17"/>
  <c r="K466" i="17"/>
  <c r="O580" i="17"/>
  <c r="K138" i="18"/>
  <c r="L122" i="20"/>
  <c r="L23" i="20"/>
  <c r="N26" i="21"/>
  <c r="N16" i="21" s="1"/>
  <c r="P49" i="21"/>
  <c r="O49" i="21"/>
  <c r="L23" i="18"/>
  <c r="P314" i="18"/>
  <c r="O457" i="18"/>
  <c r="K575" i="18"/>
  <c r="K597" i="18"/>
  <c r="K619" i="18"/>
  <c r="K631" i="18"/>
  <c r="L23" i="19"/>
  <c r="O23" i="19" s="1"/>
  <c r="N55" i="19"/>
  <c r="N53" i="19" s="1"/>
  <c r="L70" i="19"/>
  <c r="O70" i="19" s="1"/>
  <c r="K80" i="19"/>
  <c r="N292" i="19"/>
  <c r="N290" i="19" s="1"/>
  <c r="P333" i="19"/>
  <c r="O347" i="19"/>
  <c r="K350" i="19"/>
  <c r="O457" i="19"/>
  <c r="K497" i="19"/>
  <c r="O533" i="19"/>
  <c r="K613" i="19"/>
  <c r="K631" i="19"/>
  <c r="K65" i="20"/>
  <c r="K158" i="20"/>
  <c r="K397" i="20"/>
  <c r="O401" i="20"/>
  <c r="O404" i="20"/>
  <c r="O457" i="20"/>
  <c r="K499" i="20"/>
  <c r="K93" i="21"/>
  <c r="K345" i="21"/>
  <c r="K481" i="21"/>
  <c r="K625" i="21"/>
  <c r="O337" i="18"/>
  <c r="K345" i="18"/>
  <c r="K375" i="18"/>
  <c r="K396" i="18"/>
  <c r="K416" i="18"/>
  <c r="K423" i="18"/>
  <c r="K435" i="18"/>
  <c r="K285" i="19"/>
  <c r="K614" i="19"/>
  <c r="K617" i="19"/>
  <c r="N43" i="20"/>
  <c r="N41" i="20" s="1"/>
  <c r="N68" i="20"/>
  <c r="N66" i="20" s="1"/>
  <c r="P66" i="20" s="1"/>
  <c r="K149" i="20"/>
  <c r="P224" i="20"/>
  <c r="K377" i="20"/>
  <c r="K417" i="20"/>
  <c r="K564" i="20"/>
  <c r="K634" i="20"/>
  <c r="N43" i="21"/>
  <c r="N41" i="21" s="1"/>
  <c r="M68" i="21"/>
  <c r="P68" i="21" s="1"/>
  <c r="L98" i="21"/>
  <c r="O98" i="21" s="1"/>
  <c r="M273" i="21"/>
  <c r="M271" i="21" s="1"/>
  <c r="O380" i="21"/>
  <c r="K418" i="21"/>
  <c r="K428" i="21"/>
  <c r="K432" i="21"/>
  <c r="O457" i="21"/>
  <c r="K580" i="21"/>
  <c r="O597" i="21"/>
  <c r="O352" i="18"/>
  <c r="K376" i="18"/>
  <c r="O380" i="18"/>
  <c r="K397" i="18"/>
  <c r="O401" i="18"/>
  <c r="K417" i="18"/>
  <c r="O597" i="18"/>
  <c r="K396" i="19"/>
  <c r="K416" i="19"/>
  <c r="K464" i="19"/>
  <c r="K481" i="19"/>
  <c r="K498" i="19"/>
  <c r="K611" i="19"/>
  <c r="K620" i="19"/>
  <c r="L70" i="20"/>
  <c r="O70" i="20" s="1"/>
  <c r="K343" i="20"/>
  <c r="K398" i="20"/>
  <c r="N31" i="20"/>
  <c r="N29" i="20" s="1"/>
  <c r="O580" i="20"/>
  <c r="K621" i="20"/>
  <c r="K109" i="21"/>
  <c r="K149" i="21"/>
  <c r="L294" i="21"/>
  <c r="K343" i="21"/>
  <c r="K429" i="21"/>
  <c r="K595" i="21"/>
  <c r="K623" i="21"/>
  <c r="N26" i="19"/>
  <c r="N273" i="19"/>
  <c r="N271" i="19" s="1"/>
  <c r="O380" i="19"/>
  <c r="O401" i="19"/>
  <c r="K428" i="19"/>
  <c r="K431" i="19"/>
  <c r="O537" i="19"/>
  <c r="M41" i="20"/>
  <c r="L314" i="20"/>
  <c r="O314" i="20" s="1"/>
  <c r="K431" i="20"/>
  <c r="K614" i="20"/>
  <c r="K216" i="21"/>
  <c r="P333" i="21"/>
  <c r="K416" i="21"/>
  <c r="K626" i="21"/>
  <c r="P333" i="18"/>
  <c r="K398" i="18"/>
  <c r="K402" i="18"/>
  <c r="K418" i="18"/>
  <c r="K425" i="18"/>
  <c r="K551" i="18"/>
  <c r="O566" i="18"/>
  <c r="K173" i="19"/>
  <c r="K219" i="19"/>
  <c r="K618" i="19"/>
  <c r="K199" i="20"/>
  <c r="L333" i="20"/>
  <c r="O333" i="20" s="1"/>
  <c r="K350" i="20"/>
  <c r="K573" i="20"/>
  <c r="K611" i="20"/>
  <c r="O347" i="21"/>
  <c r="O401" i="21"/>
  <c r="K426" i="21"/>
  <c r="O601" i="21"/>
  <c r="K370" i="18"/>
  <c r="K481" i="18"/>
  <c r="K497" i="18"/>
  <c r="K618" i="18"/>
  <c r="K328" i="19"/>
  <c r="P337" i="19"/>
  <c r="O352" i="19"/>
  <c r="K377" i="19"/>
  <c r="K381" i="19"/>
  <c r="K398" i="19"/>
  <c r="K402" i="19"/>
  <c r="K418" i="19"/>
  <c r="K425" i="19"/>
  <c r="O455" i="19"/>
  <c r="K575" i="19"/>
  <c r="K612" i="19"/>
  <c r="K630" i="19"/>
  <c r="K634" i="19"/>
  <c r="M292" i="20"/>
  <c r="P292" i="20" s="1"/>
  <c r="O337" i="20"/>
  <c r="K375" i="20"/>
  <c r="K380" i="20"/>
  <c r="K429" i="20"/>
  <c r="K628" i="20"/>
  <c r="K632" i="20"/>
  <c r="K92" i="21"/>
  <c r="K264" i="21"/>
  <c r="K368" i="21"/>
  <c r="K372" i="21"/>
  <c r="K398" i="21"/>
  <c r="K624" i="21"/>
  <c r="L333" i="18"/>
  <c r="L331" i="18" s="1"/>
  <c r="K343" i="18"/>
  <c r="K350" i="18"/>
  <c r="O354" i="18"/>
  <c r="K419" i="18"/>
  <c r="K422" i="18"/>
  <c r="K426" i="18"/>
  <c r="O437" i="18"/>
  <c r="K547" i="18"/>
  <c r="O551" i="18"/>
  <c r="K560" i="18"/>
  <c r="O564" i="18"/>
  <c r="K573" i="18"/>
  <c r="O584" i="18"/>
  <c r="K611" i="18"/>
  <c r="K630" i="18"/>
  <c r="K164" i="19"/>
  <c r="L224" i="19"/>
  <c r="L222" i="19" s="1"/>
  <c r="N32" i="19"/>
  <c r="N30" i="19" s="1"/>
  <c r="K466" i="19"/>
  <c r="K533" i="19"/>
  <c r="O601" i="19"/>
  <c r="K616" i="19"/>
  <c r="K189" i="20"/>
  <c r="K235" i="20"/>
  <c r="K270" i="20"/>
  <c r="K345" i="20"/>
  <c r="K349" i="20"/>
  <c r="K396" i="20"/>
  <c r="K401" i="20"/>
  <c r="K426" i="20"/>
  <c r="K449" i="20"/>
  <c r="K465" i="20"/>
  <c r="K482" i="20"/>
  <c r="K591" i="20"/>
  <c r="O597" i="20"/>
  <c r="K111" i="21"/>
  <c r="K265" i="21"/>
  <c r="K424" i="21"/>
  <c r="O42" i="1"/>
  <c r="O25" i="1"/>
  <c r="L15" i="1"/>
  <c r="O15" i="1" s="1"/>
  <c r="P57" i="2"/>
  <c r="M55" i="2"/>
  <c r="M22" i="2"/>
  <c r="N254" i="1"/>
  <c r="P254" i="2"/>
  <c r="N252" i="2"/>
  <c r="L335" i="1"/>
  <c r="L24" i="2"/>
  <c r="P9" i="3"/>
  <c r="P70" i="3"/>
  <c r="M68" i="3"/>
  <c r="P32" i="1"/>
  <c r="M330" i="1"/>
  <c r="P330" i="1" s="1"/>
  <c r="P330" i="2"/>
  <c r="I83" i="1"/>
  <c r="K83" i="3"/>
  <c r="M141" i="1"/>
  <c r="P141" i="1" s="1"/>
  <c r="P141" i="3"/>
  <c r="M140" i="3"/>
  <c r="M14" i="1"/>
  <c r="P14" i="1" s="1"/>
  <c r="L21" i="1"/>
  <c r="O54" i="1"/>
  <c r="K164" i="2"/>
  <c r="K110" i="3"/>
  <c r="I110" i="1"/>
  <c r="M292" i="3"/>
  <c r="M294" i="1"/>
  <c r="P294" i="3"/>
  <c r="P19" i="2"/>
  <c r="P23" i="3"/>
  <c r="M13" i="3"/>
  <c r="P13" i="3" s="1"/>
  <c r="J80" i="1"/>
  <c r="K80" i="3"/>
  <c r="N119" i="1"/>
  <c r="M11" i="1"/>
  <c r="P29" i="1"/>
  <c r="P42" i="1"/>
  <c r="M30" i="2"/>
  <c r="P30" i="2" s="1"/>
  <c r="P32" i="2"/>
  <c r="N45" i="1"/>
  <c r="N22" i="2"/>
  <c r="N43" i="2"/>
  <c r="N41" i="2" s="1"/>
  <c r="L33" i="2"/>
  <c r="O33" i="2" s="1"/>
  <c r="O353" i="2"/>
  <c r="N22" i="3"/>
  <c r="N43" i="3"/>
  <c r="P45" i="3"/>
  <c r="M74" i="1"/>
  <c r="P74" i="3"/>
  <c r="J93" i="1"/>
  <c r="K93" i="3"/>
  <c r="P251" i="3"/>
  <c r="M250" i="3"/>
  <c r="P250" i="3" s="1"/>
  <c r="P19" i="1"/>
  <c r="I149" i="1"/>
  <c r="K149" i="1" s="1"/>
  <c r="K149" i="2"/>
  <c r="L26" i="2"/>
  <c r="L228" i="1"/>
  <c r="O228" i="1" s="1"/>
  <c r="O228" i="2"/>
  <c r="I289" i="1"/>
  <c r="K289" i="2"/>
  <c r="O19" i="3"/>
  <c r="N74" i="1"/>
  <c r="O74" i="3"/>
  <c r="K204" i="3"/>
  <c r="I204" i="1"/>
  <c r="I264" i="1"/>
  <c r="K264" i="3"/>
  <c r="P23" i="2"/>
  <c r="M13" i="2"/>
  <c r="P13" i="2" s="1"/>
  <c r="M70" i="1"/>
  <c r="P70" i="2"/>
  <c r="M68" i="2"/>
  <c r="L23" i="2"/>
  <c r="L295" i="1"/>
  <c r="L294" i="2"/>
  <c r="N34" i="2"/>
  <c r="N14" i="2" s="1"/>
  <c r="O385" i="2"/>
  <c r="O568" i="2"/>
  <c r="L34" i="2"/>
  <c r="J88" i="1"/>
  <c r="K88" i="3"/>
  <c r="M95" i="1"/>
  <c r="P95" i="1" s="1"/>
  <c r="P95" i="3"/>
  <c r="L24" i="3"/>
  <c r="L98" i="3"/>
  <c r="K200" i="3"/>
  <c r="I200" i="1"/>
  <c r="L256" i="1"/>
  <c r="L254" i="3"/>
  <c r="N144" i="1"/>
  <c r="P144" i="2"/>
  <c r="N142" i="2"/>
  <c r="L291" i="1"/>
  <c r="O291" i="1" s="1"/>
  <c r="O291" i="2"/>
  <c r="J328" i="1"/>
  <c r="K328" i="2"/>
  <c r="L333" i="2"/>
  <c r="L32" i="2"/>
  <c r="O437" i="2"/>
  <c r="N31" i="2"/>
  <c r="M30" i="3"/>
  <c r="P30" i="3" s="1"/>
  <c r="P32" i="3"/>
  <c r="P57" i="3"/>
  <c r="M55" i="3"/>
  <c r="M22" i="3"/>
  <c r="L26" i="3"/>
  <c r="L126" i="1"/>
  <c r="O126" i="3"/>
  <c r="P21" i="2"/>
  <c r="M29" i="2"/>
  <c r="K613" i="2"/>
  <c r="M271" i="3"/>
  <c r="M43" i="2"/>
  <c r="M337" i="2"/>
  <c r="M331" i="2" s="1"/>
  <c r="M329" i="2" s="1"/>
  <c r="K616" i="2"/>
  <c r="K624" i="2"/>
  <c r="M102" i="3"/>
  <c r="M26" i="3" s="1"/>
  <c r="P29" i="5"/>
  <c r="M28" i="5"/>
  <c r="P28" i="5" s="1"/>
  <c r="M140" i="5"/>
  <c r="I367" i="2"/>
  <c r="K367" i="2" s="1"/>
  <c r="K611" i="2"/>
  <c r="K619" i="2"/>
  <c r="P275" i="3"/>
  <c r="M222" i="2"/>
  <c r="K614" i="2"/>
  <c r="K622" i="2"/>
  <c r="P11" i="3"/>
  <c r="L15" i="3"/>
  <c r="O15" i="3" s="1"/>
  <c r="M28" i="3"/>
  <c r="P28" i="3" s="1"/>
  <c r="M271" i="4"/>
  <c r="M250" i="5"/>
  <c r="M310" i="2"/>
  <c r="K617" i="2"/>
  <c r="M118" i="4"/>
  <c r="M271" i="2"/>
  <c r="M292" i="2"/>
  <c r="M290" i="2" s="1"/>
  <c r="K612" i="2"/>
  <c r="K620" i="2"/>
  <c r="N96" i="3"/>
  <c r="N142" i="3"/>
  <c r="P29" i="4"/>
  <c r="M28" i="4"/>
  <c r="P28" i="4" s="1"/>
  <c r="M250" i="2"/>
  <c r="P333" i="3"/>
  <c r="K612" i="3"/>
  <c r="K620" i="3"/>
  <c r="L26" i="4"/>
  <c r="P31" i="4"/>
  <c r="P98" i="4"/>
  <c r="M222" i="4"/>
  <c r="K620" i="4"/>
  <c r="P31" i="5"/>
  <c r="N96" i="5"/>
  <c r="N94" i="5" s="1"/>
  <c r="P98" i="5"/>
  <c r="P144" i="5"/>
  <c r="M220" i="5"/>
  <c r="P254" i="5"/>
  <c r="K624" i="5"/>
  <c r="N26" i="6"/>
  <c r="N16" i="6" s="1"/>
  <c r="K623" i="3"/>
  <c r="M220" i="6"/>
  <c r="K626" i="3"/>
  <c r="K626" i="4"/>
  <c r="K622" i="5"/>
  <c r="M28" i="6"/>
  <c r="P28" i="6" s="1"/>
  <c r="K613" i="3"/>
  <c r="K621" i="3"/>
  <c r="M11" i="4"/>
  <c r="M140" i="4"/>
  <c r="M250" i="4"/>
  <c r="P250" i="4" s="1"/>
  <c r="M312" i="4"/>
  <c r="K613" i="4"/>
  <c r="K621" i="4"/>
  <c r="M11" i="5"/>
  <c r="M310" i="5"/>
  <c r="P310" i="5" s="1"/>
  <c r="M331" i="5"/>
  <c r="K617" i="5"/>
  <c r="K625" i="5"/>
  <c r="K616" i="3"/>
  <c r="K624" i="3"/>
  <c r="M43" i="4"/>
  <c r="K624" i="4"/>
  <c r="M43" i="5"/>
  <c r="O57" i="6"/>
  <c r="M140" i="6"/>
  <c r="M94" i="4"/>
  <c r="P94" i="4" s="1"/>
  <c r="K623" i="5"/>
  <c r="O54" i="6"/>
  <c r="K622" i="3"/>
  <c r="K622" i="4"/>
  <c r="M68" i="5"/>
  <c r="M120" i="5"/>
  <c r="P120" i="5" s="1"/>
  <c r="M273" i="5"/>
  <c r="M271" i="5" s="1"/>
  <c r="P271" i="5" s="1"/>
  <c r="K626" i="5"/>
  <c r="P31" i="6"/>
  <c r="P45" i="6"/>
  <c r="M53" i="7"/>
  <c r="M310" i="3"/>
  <c r="P310" i="3" s="1"/>
  <c r="M55" i="4"/>
  <c r="M329" i="4"/>
  <c r="M15" i="5"/>
  <c r="P15" i="5" s="1"/>
  <c r="M55" i="5"/>
  <c r="M11" i="6"/>
  <c r="N43" i="6"/>
  <c r="N41" i="6" s="1"/>
  <c r="P224" i="6"/>
  <c r="M310" i="6"/>
  <c r="M331" i="6"/>
  <c r="K615" i="6"/>
  <c r="K623" i="6"/>
  <c r="M13" i="7"/>
  <c r="P13" i="7" s="1"/>
  <c r="M15" i="7"/>
  <c r="P70" i="7"/>
  <c r="M271" i="6"/>
  <c r="M292" i="6"/>
  <c r="K618" i="6"/>
  <c r="K613" i="6"/>
  <c r="O21" i="7"/>
  <c r="O25" i="7"/>
  <c r="L15" i="7"/>
  <c r="O15" i="7" s="1"/>
  <c r="M49" i="7"/>
  <c r="K616" i="6"/>
  <c r="P29" i="7"/>
  <c r="M28" i="7"/>
  <c r="P28" i="7" s="1"/>
  <c r="N26" i="7"/>
  <c r="N43" i="7"/>
  <c r="N41" i="7" s="1"/>
  <c r="M55" i="6"/>
  <c r="M252" i="6"/>
  <c r="I367" i="6"/>
  <c r="K367" i="6" s="1"/>
  <c r="K611" i="6"/>
  <c r="K619" i="6"/>
  <c r="K614" i="6"/>
  <c r="O19" i="7"/>
  <c r="P21" i="7"/>
  <c r="K112" i="7"/>
  <c r="P122" i="7"/>
  <c r="M120" i="7"/>
  <c r="P11" i="8"/>
  <c r="M9" i="8"/>
  <c r="K617" i="6"/>
  <c r="P42" i="7"/>
  <c r="O67" i="7"/>
  <c r="M220" i="7"/>
  <c r="P24" i="7"/>
  <c r="M14" i="7"/>
  <c r="P14" i="7" s="1"/>
  <c r="P224" i="7"/>
  <c r="O333" i="7"/>
  <c r="K617" i="7"/>
  <c r="P21" i="8"/>
  <c r="O330" i="8"/>
  <c r="O347" i="8"/>
  <c r="I367" i="8"/>
  <c r="K367" i="8" s="1"/>
  <c r="K371" i="8"/>
  <c r="P19" i="8"/>
  <c r="L122" i="8"/>
  <c r="L24" i="8"/>
  <c r="O141" i="8"/>
  <c r="O565" i="8"/>
  <c r="L31" i="8"/>
  <c r="L43" i="9"/>
  <c r="O314" i="9"/>
  <c r="L312" i="9"/>
  <c r="O312" i="9" s="1"/>
  <c r="P19" i="10"/>
  <c r="M312" i="7"/>
  <c r="P312" i="7" s="1"/>
  <c r="K615" i="7"/>
  <c r="N26" i="8"/>
  <c r="N16" i="8" s="1"/>
  <c r="L70" i="8"/>
  <c r="L33" i="8"/>
  <c r="O33" i="8" s="1"/>
  <c r="O536" i="8"/>
  <c r="N19" i="9"/>
  <c r="M273" i="7"/>
  <c r="K618" i="7"/>
  <c r="K626" i="7"/>
  <c r="M14" i="8"/>
  <c r="P14" i="8" s="1"/>
  <c r="P29" i="8"/>
  <c r="M28" i="8"/>
  <c r="P28" i="8" s="1"/>
  <c r="M22" i="8"/>
  <c r="P45" i="8"/>
  <c r="O533" i="8"/>
  <c r="K613" i="7"/>
  <c r="P221" i="8"/>
  <c r="M220" i="8"/>
  <c r="K428" i="8"/>
  <c r="O601" i="8"/>
  <c r="N26" i="9"/>
  <c r="N16" i="9" s="1"/>
  <c r="K616" i="7"/>
  <c r="O21" i="8"/>
  <c r="L19" i="8"/>
  <c r="P42" i="8"/>
  <c r="P254" i="8"/>
  <c r="M252" i="8"/>
  <c r="O19" i="10"/>
  <c r="M290" i="7"/>
  <c r="P290" i="7" s="1"/>
  <c r="L15" i="8"/>
  <c r="O15" i="8" s="1"/>
  <c r="P119" i="8"/>
  <c r="N22" i="8"/>
  <c r="N120" i="8"/>
  <c r="P144" i="8"/>
  <c r="M142" i="8"/>
  <c r="P275" i="8"/>
  <c r="N273" i="8"/>
  <c r="M290" i="8"/>
  <c r="P290" i="8" s="1"/>
  <c r="P292" i="8"/>
  <c r="O459" i="8"/>
  <c r="M26" i="9"/>
  <c r="M22" i="9"/>
  <c r="P45" i="9"/>
  <c r="M43" i="9"/>
  <c r="M68" i="9"/>
  <c r="P102" i="10"/>
  <c r="P19" i="11"/>
  <c r="N55" i="11"/>
  <c r="N53" i="11" s="1"/>
  <c r="N22" i="11"/>
  <c r="P102" i="11"/>
  <c r="I367" i="11"/>
  <c r="K367" i="11" s="1"/>
  <c r="K371" i="11"/>
  <c r="N55" i="12"/>
  <c r="P55" i="12" s="1"/>
  <c r="N26" i="12"/>
  <c r="N16" i="12" s="1"/>
  <c r="O330" i="12"/>
  <c r="N22" i="14"/>
  <c r="N222" i="14"/>
  <c r="N220" i="14" s="1"/>
  <c r="P311" i="17"/>
  <c r="M66" i="8"/>
  <c r="K618" i="8"/>
  <c r="K626" i="8"/>
  <c r="M14" i="9"/>
  <c r="P14" i="9" s="1"/>
  <c r="M222" i="9"/>
  <c r="M220" i="9" s="1"/>
  <c r="M290" i="9"/>
  <c r="P290" i="9" s="1"/>
  <c r="K612" i="9"/>
  <c r="K620" i="9"/>
  <c r="L26" i="10"/>
  <c r="L45" i="10"/>
  <c r="M222" i="10"/>
  <c r="P291" i="10"/>
  <c r="L294" i="10"/>
  <c r="O311" i="10"/>
  <c r="K418" i="10"/>
  <c r="N26" i="11"/>
  <c r="N16" i="11" s="1"/>
  <c r="N96" i="11"/>
  <c r="N94" i="11" s="1"/>
  <c r="K219" i="11"/>
  <c r="O347" i="11"/>
  <c r="K368" i="11"/>
  <c r="O565" i="11"/>
  <c r="L31" i="11"/>
  <c r="L11" i="11" s="1"/>
  <c r="L26" i="12"/>
  <c r="O102" i="12"/>
  <c r="L32" i="13"/>
  <c r="M53" i="8"/>
  <c r="K613" i="8"/>
  <c r="K621" i="8"/>
  <c r="M11" i="9"/>
  <c r="M29" i="9"/>
  <c r="M53" i="9"/>
  <c r="N222" i="9"/>
  <c r="N220" i="9" s="1"/>
  <c r="M310" i="9"/>
  <c r="P310" i="9" s="1"/>
  <c r="M331" i="9"/>
  <c r="O436" i="9"/>
  <c r="O567" i="9"/>
  <c r="K615" i="9"/>
  <c r="K623" i="9"/>
  <c r="M9" i="10"/>
  <c r="L24" i="11"/>
  <c r="P144" i="12"/>
  <c r="M142" i="12"/>
  <c r="K616" i="8"/>
  <c r="K624" i="8"/>
  <c r="M271" i="9"/>
  <c r="K618" i="9"/>
  <c r="K626" i="9"/>
  <c r="M14" i="10"/>
  <c r="P14" i="10" s="1"/>
  <c r="O21" i="10"/>
  <c r="P33" i="10"/>
  <c r="M66" i="10"/>
  <c r="O337" i="10"/>
  <c r="M337" i="10"/>
  <c r="K497" i="10"/>
  <c r="O330" i="11"/>
  <c r="L33" i="11"/>
  <c r="O33" i="11" s="1"/>
  <c r="O536" i="11"/>
  <c r="N19" i="12"/>
  <c r="N22" i="12"/>
  <c r="N120" i="12"/>
  <c r="N118" i="12" s="1"/>
  <c r="M53" i="14"/>
  <c r="K613" i="9"/>
  <c r="K369" i="10"/>
  <c r="I367" i="10"/>
  <c r="K367" i="10" s="1"/>
  <c r="P29" i="11"/>
  <c r="M28" i="11"/>
  <c r="P28" i="11" s="1"/>
  <c r="P98" i="11"/>
  <c r="M96" i="11"/>
  <c r="M22" i="11"/>
  <c r="P221" i="11"/>
  <c r="P254" i="11"/>
  <c r="M252" i="11"/>
  <c r="L23" i="12"/>
  <c r="O49" i="14"/>
  <c r="M49" i="14"/>
  <c r="L26" i="14"/>
  <c r="O337" i="8"/>
  <c r="K622" i="8"/>
  <c r="K616" i="9"/>
  <c r="O380" i="10"/>
  <c r="K481" i="10"/>
  <c r="P275" i="11"/>
  <c r="N273" i="11"/>
  <c r="N271" i="11" s="1"/>
  <c r="I367" i="12"/>
  <c r="K367" i="12" s="1"/>
  <c r="K371" i="12"/>
  <c r="O385" i="12"/>
  <c r="L34" i="12"/>
  <c r="P333" i="13"/>
  <c r="M331" i="13"/>
  <c r="N222" i="8"/>
  <c r="M331" i="8"/>
  <c r="K625" i="8"/>
  <c r="M96" i="9"/>
  <c r="M142" i="9"/>
  <c r="M252" i="9"/>
  <c r="N273" i="9"/>
  <c r="I367" i="9"/>
  <c r="K367" i="9" s="1"/>
  <c r="K611" i="9"/>
  <c r="K619" i="9"/>
  <c r="P57" i="10"/>
  <c r="N68" i="10"/>
  <c r="M96" i="10"/>
  <c r="M142" i="10"/>
  <c r="K618" i="10"/>
  <c r="K615" i="10"/>
  <c r="K612" i="10"/>
  <c r="K617" i="10"/>
  <c r="K614" i="10"/>
  <c r="K619" i="10"/>
  <c r="K611" i="10"/>
  <c r="K616" i="10"/>
  <c r="M9" i="11"/>
  <c r="P11" i="11"/>
  <c r="M22" i="12"/>
  <c r="P45" i="12"/>
  <c r="M43" i="12"/>
  <c r="P254" i="12"/>
  <c r="M252" i="12"/>
  <c r="L34" i="14"/>
  <c r="O354" i="14"/>
  <c r="M271" i="8"/>
  <c r="L15" i="10"/>
  <c r="O15" i="10" s="1"/>
  <c r="N22" i="10"/>
  <c r="M28" i="10"/>
  <c r="P28" i="10" s="1"/>
  <c r="K377" i="10"/>
  <c r="O437" i="10"/>
  <c r="K465" i="10"/>
  <c r="O584" i="10"/>
  <c r="O599" i="10"/>
  <c r="O25" i="11"/>
  <c r="L15" i="11"/>
  <c r="O15" i="11" s="1"/>
  <c r="L34" i="11"/>
  <c r="P57" i="11"/>
  <c r="P144" i="11"/>
  <c r="M142" i="11"/>
  <c r="N34" i="11"/>
  <c r="N14" i="11" s="1"/>
  <c r="O459" i="11"/>
  <c r="P221" i="12"/>
  <c r="M220" i="12"/>
  <c r="P275" i="12"/>
  <c r="N273" i="12"/>
  <c r="N271" i="12" s="1"/>
  <c r="M290" i="12"/>
  <c r="P290" i="12" s="1"/>
  <c r="P292" i="12"/>
  <c r="O54" i="13"/>
  <c r="K624" i="10"/>
  <c r="M43" i="11"/>
  <c r="M41" i="11" s="1"/>
  <c r="O102" i="11"/>
  <c r="M120" i="11"/>
  <c r="K618" i="11"/>
  <c r="K626" i="11"/>
  <c r="M14" i="12"/>
  <c r="P14" i="12" s="1"/>
  <c r="M66" i="12"/>
  <c r="M120" i="12"/>
  <c r="P120" i="12" s="1"/>
  <c r="M22" i="13"/>
  <c r="P45" i="13"/>
  <c r="M43" i="13"/>
  <c r="P67" i="13"/>
  <c r="M66" i="13"/>
  <c r="P66" i="13" s="1"/>
  <c r="M220" i="15"/>
  <c r="M13" i="11"/>
  <c r="P13" i="11" s="1"/>
  <c r="L19" i="11"/>
  <c r="M55" i="11"/>
  <c r="K613" i="11"/>
  <c r="K621" i="11"/>
  <c r="M11" i="12"/>
  <c r="M29" i="12"/>
  <c r="M53" i="12"/>
  <c r="O251" i="13"/>
  <c r="P272" i="13"/>
  <c r="O337" i="14"/>
  <c r="K622" i="10"/>
  <c r="M337" i="11"/>
  <c r="P337" i="11" s="1"/>
  <c r="K616" i="11"/>
  <c r="K624" i="11"/>
  <c r="O533" i="12"/>
  <c r="O95" i="13"/>
  <c r="K370" i="13"/>
  <c r="P119" i="14"/>
  <c r="L122" i="14"/>
  <c r="K266" i="14"/>
  <c r="P337" i="14"/>
  <c r="P251" i="16"/>
  <c r="M250" i="16"/>
  <c r="P250" i="16" s="1"/>
  <c r="O141" i="13"/>
  <c r="L33" i="13"/>
  <c r="O33" i="13" s="1"/>
  <c r="O567" i="13"/>
  <c r="L19" i="14"/>
  <c r="O21" i="14"/>
  <c r="P24" i="14"/>
  <c r="M14" i="14"/>
  <c r="P14" i="14" s="1"/>
  <c r="M13" i="14"/>
  <c r="P13" i="14" s="1"/>
  <c r="P33" i="14"/>
  <c r="O141" i="14"/>
  <c r="L26" i="15"/>
  <c r="O61" i="15"/>
  <c r="L26" i="11"/>
  <c r="M222" i="11"/>
  <c r="M290" i="11"/>
  <c r="P290" i="11" s="1"/>
  <c r="K622" i="11"/>
  <c r="L24" i="12"/>
  <c r="K635" i="12"/>
  <c r="P49" i="13"/>
  <c r="P224" i="13"/>
  <c r="N33" i="13"/>
  <c r="N13" i="13" s="1"/>
  <c r="L144" i="14"/>
  <c r="L23" i="14"/>
  <c r="O251" i="14"/>
  <c r="P272" i="14"/>
  <c r="M271" i="14"/>
  <c r="L31" i="14"/>
  <c r="L11" i="14" s="1"/>
  <c r="O552" i="14"/>
  <c r="M94" i="16"/>
  <c r="P94" i="16" s="1"/>
  <c r="P96" i="16"/>
  <c r="M312" i="10"/>
  <c r="K623" i="10"/>
  <c r="L23" i="11"/>
  <c r="K625" i="11"/>
  <c r="N222" i="12"/>
  <c r="M331" i="12"/>
  <c r="O601" i="12"/>
  <c r="N43" i="13"/>
  <c r="N41" i="13" s="1"/>
  <c r="N26" i="13"/>
  <c r="N16" i="13" s="1"/>
  <c r="P119" i="13"/>
  <c r="N22" i="13"/>
  <c r="N222" i="13"/>
  <c r="N220" i="13" s="1"/>
  <c r="L26" i="13"/>
  <c r="O318" i="13"/>
  <c r="K430" i="13"/>
  <c r="L31" i="13"/>
  <c r="O436" i="13"/>
  <c r="O555" i="13"/>
  <c r="M22" i="14"/>
  <c r="P333" i="14"/>
  <c r="M331" i="14"/>
  <c r="K416" i="14"/>
  <c r="M14" i="11"/>
  <c r="P14" i="11" s="1"/>
  <c r="M271" i="11"/>
  <c r="M271" i="12"/>
  <c r="K499" i="12"/>
  <c r="P9" i="13"/>
  <c r="N19" i="13"/>
  <c r="K189" i="13"/>
  <c r="K270" i="13"/>
  <c r="O580" i="13"/>
  <c r="P42" i="14"/>
  <c r="K189" i="14"/>
  <c r="P224" i="14"/>
  <c r="K343" i="14"/>
  <c r="L33" i="14"/>
  <c r="O33" i="14" s="1"/>
  <c r="O438" i="14"/>
  <c r="O537" i="14"/>
  <c r="O566" i="14"/>
  <c r="O582" i="14"/>
  <c r="O439" i="15"/>
  <c r="L34" i="15"/>
  <c r="K618" i="12"/>
  <c r="K626" i="12"/>
  <c r="O49" i="13"/>
  <c r="M222" i="13"/>
  <c r="K612" i="13"/>
  <c r="K620" i="13"/>
  <c r="M222" i="14"/>
  <c r="K614" i="14"/>
  <c r="K622" i="14"/>
  <c r="O19" i="15"/>
  <c r="P49" i="15"/>
  <c r="K93" i="15"/>
  <c r="K249" i="15"/>
  <c r="K547" i="15"/>
  <c r="N33" i="15"/>
  <c r="N13" i="15" s="1"/>
  <c r="M19" i="16"/>
  <c r="P21" i="16"/>
  <c r="M11" i="16"/>
  <c r="P29" i="16"/>
  <c r="M28" i="16"/>
  <c r="P28" i="16" s="1"/>
  <c r="K285" i="16"/>
  <c r="L33" i="16"/>
  <c r="O33" i="16" s="1"/>
  <c r="O384" i="16"/>
  <c r="K498" i="16"/>
  <c r="K613" i="12"/>
  <c r="K621" i="12"/>
  <c r="P21" i="13"/>
  <c r="M29" i="13"/>
  <c r="K615" i="13"/>
  <c r="K623" i="13"/>
  <c r="M9" i="14"/>
  <c r="P19" i="15"/>
  <c r="P294" i="15"/>
  <c r="M22" i="15"/>
  <c r="M292" i="15"/>
  <c r="N31" i="15"/>
  <c r="N29" i="15" s="1"/>
  <c r="M331" i="16"/>
  <c r="M329" i="16" s="1"/>
  <c r="P54" i="17"/>
  <c r="M53" i="17"/>
  <c r="L23" i="17"/>
  <c r="L57" i="17"/>
  <c r="K616" i="12"/>
  <c r="K624" i="12"/>
  <c r="M102" i="13"/>
  <c r="M96" i="13" s="1"/>
  <c r="K618" i="13"/>
  <c r="K626" i="13"/>
  <c r="K612" i="14"/>
  <c r="P29" i="15"/>
  <c r="L98" i="15"/>
  <c r="P141" i="16"/>
  <c r="M140" i="16"/>
  <c r="N22" i="16"/>
  <c r="P333" i="16"/>
  <c r="N331" i="16"/>
  <c r="N329" i="16" s="1"/>
  <c r="K482" i="16"/>
  <c r="O564" i="16"/>
  <c r="K613" i="13"/>
  <c r="P95" i="15"/>
  <c r="P251" i="15"/>
  <c r="M250" i="15"/>
  <c r="L24" i="16"/>
  <c r="L144" i="16"/>
  <c r="O383" i="17"/>
  <c r="N32" i="17"/>
  <c r="N30" i="17" s="1"/>
  <c r="K614" i="12"/>
  <c r="K622" i="12"/>
  <c r="M120" i="13"/>
  <c r="P120" i="13" s="1"/>
  <c r="M273" i="13"/>
  <c r="K616" i="13"/>
  <c r="K624" i="13"/>
  <c r="M30" i="15"/>
  <c r="P30" i="15" s="1"/>
  <c r="P32" i="15"/>
  <c r="P141" i="15"/>
  <c r="M140" i="15"/>
  <c r="M22" i="16"/>
  <c r="P294" i="16"/>
  <c r="M292" i="16"/>
  <c r="O535" i="16"/>
  <c r="L32" i="16"/>
  <c r="L34" i="17"/>
  <c r="O537" i="17"/>
  <c r="P57" i="13"/>
  <c r="M142" i="13"/>
  <c r="M252" i="13"/>
  <c r="I367" i="13"/>
  <c r="K367" i="13" s="1"/>
  <c r="K611" i="13"/>
  <c r="K619" i="13"/>
  <c r="O102" i="14"/>
  <c r="M142" i="14"/>
  <c r="M252" i="14"/>
  <c r="N273" i="14"/>
  <c r="K613" i="14"/>
  <c r="P23" i="15"/>
  <c r="M13" i="15"/>
  <c r="P13" i="15" s="1"/>
  <c r="N22" i="15"/>
  <c r="N43" i="15"/>
  <c r="N41" i="15" s="1"/>
  <c r="P54" i="15"/>
  <c r="K213" i="15"/>
  <c r="O382" i="15"/>
  <c r="L31" i="15"/>
  <c r="K229" i="16"/>
  <c r="K427" i="16"/>
  <c r="L34" i="16"/>
  <c r="O555" i="16"/>
  <c r="L31" i="17"/>
  <c r="O351" i="17"/>
  <c r="L15" i="14"/>
  <c r="O15" i="14" s="1"/>
  <c r="M28" i="14"/>
  <c r="P28" i="14" s="1"/>
  <c r="P333" i="15"/>
  <c r="O352" i="15"/>
  <c r="N32" i="15"/>
  <c r="N30" i="15" s="1"/>
  <c r="K425" i="15"/>
  <c r="L32" i="15"/>
  <c r="O553" i="15"/>
  <c r="L23" i="16"/>
  <c r="O67" i="16"/>
  <c r="K176" i="16"/>
  <c r="N312" i="16"/>
  <c r="N26" i="16"/>
  <c r="N16" i="16" s="1"/>
  <c r="M11" i="15"/>
  <c r="P21" i="15"/>
  <c r="K615" i="15"/>
  <c r="K623" i="15"/>
  <c r="M310" i="16"/>
  <c r="P310" i="16" s="1"/>
  <c r="L24" i="17"/>
  <c r="K93" i="17"/>
  <c r="M222" i="17"/>
  <c r="P294" i="17"/>
  <c r="M292" i="17"/>
  <c r="L33" i="17"/>
  <c r="O33" i="17" s="1"/>
  <c r="O384" i="17"/>
  <c r="K482" i="17"/>
  <c r="N31" i="17"/>
  <c r="N29" i="17" s="1"/>
  <c r="M43" i="15"/>
  <c r="M271" i="15"/>
  <c r="P271" i="15" s="1"/>
  <c r="K618" i="15"/>
  <c r="K626" i="15"/>
  <c r="M14" i="16"/>
  <c r="P14" i="16" s="1"/>
  <c r="M118" i="16"/>
  <c r="P118" i="16" s="1"/>
  <c r="P23" i="17"/>
  <c r="M13" i="17"/>
  <c r="P13" i="17" s="1"/>
  <c r="P29" i="17"/>
  <c r="M28" i="17"/>
  <c r="P28" i="17" s="1"/>
  <c r="O67" i="17"/>
  <c r="K624" i="17"/>
  <c r="K621" i="17"/>
  <c r="K626" i="17"/>
  <c r="K623" i="17"/>
  <c r="K620" i="17"/>
  <c r="K625" i="17"/>
  <c r="K613" i="15"/>
  <c r="K621" i="15"/>
  <c r="K589" i="16"/>
  <c r="P141" i="17"/>
  <c r="M140" i="17"/>
  <c r="K176" i="17"/>
  <c r="K249" i="17"/>
  <c r="P333" i="17"/>
  <c r="K498" i="17"/>
  <c r="K533" i="17"/>
  <c r="L32" i="17"/>
  <c r="O535" i="17"/>
  <c r="P29" i="18"/>
  <c r="M28" i="18"/>
  <c r="P28" i="18" s="1"/>
  <c r="K564" i="16"/>
  <c r="P95" i="17"/>
  <c r="O119" i="17"/>
  <c r="N96" i="15"/>
  <c r="N142" i="15"/>
  <c r="N252" i="15"/>
  <c r="K622" i="15"/>
  <c r="N142" i="16"/>
  <c r="M19" i="17"/>
  <c r="P21" i="17"/>
  <c r="M11" i="17"/>
  <c r="M22" i="17"/>
  <c r="L98" i="17"/>
  <c r="M329" i="15"/>
  <c r="M15" i="16"/>
  <c r="P15" i="16" s="1"/>
  <c r="M55" i="16"/>
  <c r="I367" i="16"/>
  <c r="K367" i="16" s="1"/>
  <c r="N22" i="17"/>
  <c r="N43" i="17"/>
  <c r="N41" i="17" s="1"/>
  <c r="K199" i="17"/>
  <c r="P251" i="17"/>
  <c r="M250" i="17"/>
  <c r="O272" i="17"/>
  <c r="K593" i="17"/>
  <c r="P70" i="18"/>
  <c r="M68" i="18"/>
  <c r="K613" i="16"/>
  <c r="K621" i="16"/>
  <c r="K617" i="17"/>
  <c r="M15" i="18"/>
  <c r="P15" i="18" s="1"/>
  <c r="K616" i="16"/>
  <c r="K624" i="16"/>
  <c r="P45" i="17"/>
  <c r="K612" i="17"/>
  <c r="O21" i="18"/>
  <c r="L19" i="18"/>
  <c r="K615" i="17"/>
  <c r="P21" i="18"/>
  <c r="M11" i="18"/>
  <c r="M19" i="18"/>
  <c r="K618" i="17"/>
  <c r="P9" i="19"/>
  <c r="K613" i="17"/>
  <c r="P57" i="18"/>
  <c r="M55" i="18"/>
  <c r="M22" i="18"/>
  <c r="L26" i="18"/>
  <c r="O228" i="18"/>
  <c r="K616" i="17"/>
  <c r="P144" i="18"/>
  <c r="N142" i="18"/>
  <c r="N22" i="18"/>
  <c r="N26" i="18"/>
  <c r="N16" i="18" s="1"/>
  <c r="N96" i="18"/>
  <c r="N94" i="18" s="1"/>
  <c r="P42" i="19"/>
  <c r="M41" i="19"/>
  <c r="M94" i="18"/>
  <c r="P94" i="18" s="1"/>
  <c r="K613" i="18"/>
  <c r="K621" i="18"/>
  <c r="P95" i="19"/>
  <c r="M94" i="19"/>
  <c r="P94" i="19" s="1"/>
  <c r="M19" i="20"/>
  <c r="P21" i="20"/>
  <c r="M11" i="20"/>
  <c r="O54" i="20"/>
  <c r="M220" i="18"/>
  <c r="K616" i="18"/>
  <c r="K624" i="18"/>
  <c r="L98" i="19"/>
  <c r="L294" i="18"/>
  <c r="M13" i="19"/>
  <c r="P13" i="19" s="1"/>
  <c r="P25" i="19"/>
  <c r="O221" i="19"/>
  <c r="O553" i="19"/>
  <c r="L32" i="19"/>
  <c r="M49" i="18"/>
  <c r="K614" i="18"/>
  <c r="K622" i="18"/>
  <c r="P11" i="19"/>
  <c r="M19" i="19"/>
  <c r="L26" i="19"/>
  <c r="P122" i="19"/>
  <c r="M120" i="19"/>
  <c r="K380" i="19"/>
  <c r="K401" i="19"/>
  <c r="P330" i="20"/>
  <c r="M331" i="18"/>
  <c r="K617" i="18"/>
  <c r="K625" i="18"/>
  <c r="N19" i="19"/>
  <c r="L45" i="19"/>
  <c r="L26" i="21"/>
  <c r="O61" i="21"/>
  <c r="M14" i="18"/>
  <c r="P14" i="18" s="1"/>
  <c r="M292" i="18"/>
  <c r="K612" i="18"/>
  <c r="K620" i="18"/>
  <c r="O54" i="19"/>
  <c r="P275" i="19"/>
  <c r="M273" i="19"/>
  <c r="K376" i="19"/>
  <c r="K397" i="19"/>
  <c r="K417" i="19"/>
  <c r="L34" i="19"/>
  <c r="O439" i="19"/>
  <c r="M140" i="18"/>
  <c r="M250" i="18"/>
  <c r="P250" i="18" s="1"/>
  <c r="P54" i="19"/>
  <c r="N252" i="19"/>
  <c r="N250" i="19" s="1"/>
  <c r="K547" i="19"/>
  <c r="M312" i="19"/>
  <c r="K615" i="19"/>
  <c r="K623" i="19"/>
  <c r="O102" i="21"/>
  <c r="M102" i="21"/>
  <c r="P102" i="21" s="1"/>
  <c r="O221" i="21"/>
  <c r="K626" i="19"/>
  <c r="K621" i="19"/>
  <c r="L96" i="20"/>
  <c r="P254" i="20"/>
  <c r="N252" i="20"/>
  <c r="N250" i="20" s="1"/>
  <c r="N34" i="20"/>
  <c r="O385" i="20"/>
  <c r="K624" i="19"/>
  <c r="P70" i="20"/>
  <c r="P144" i="20"/>
  <c r="N142" i="20"/>
  <c r="N140" i="20" s="1"/>
  <c r="L32" i="20"/>
  <c r="O437" i="20"/>
  <c r="O42" i="20"/>
  <c r="O291" i="20"/>
  <c r="O337" i="19"/>
  <c r="K622" i="19"/>
  <c r="P57" i="20"/>
  <c r="M55" i="20"/>
  <c r="K64" i="20"/>
  <c r="L34" i="21"/>
  <c r="O385" i="21"/>
  <c r="K369" i="21"/>
  <c r="I367" i="21"/>
  <c r="K367" i="21" s="1"/>
  <c r="O534" i="21"/>
  <c r="L31" i="21"/>
  <c r="L23" i="21"/>
  <c r="L45" i="21"/>
  <c r="K164" i="21"/>
  <c r="P221" i="21"/>
  <c r="O330" i="21"/>
  <c r="K633" i="21"/>
  <c r="M337" i="20"/>
  <c r="K618" i="20"/>
  <c r="K624" i="20"/>
  <c r="M96" i="20"/>
  <c r="I367" i="20"/>
  <c r="K367" i="20" s="1"/>
  <c r="N22" i="21"/>
  <c r="P57" i="21"/>
  <c r="M55" i="21"/>
  <c r="N120" i="21"/>
  <c r="N118" i="21" s="1"/>
  <c r="L224" i="21"/>
  <c r="P254" i="21"/>
  <c r="M252" i="21"/>
  <c r="L32" i="21"/>
  <c r="O383" i="21"/>
  <c r="M222" i="20"/>
  <c r="P98" i="21"/>
  <c r="O551" i="21"/>
  <c r="K618" i="21"/>
  <c r="K612" i="21"/>
  <c r="K617" i="21"/>
  <c r="K614" i="21"/>
  <c r="K619" i="21"/>
  <c r="K611" i="21"/>
  <c r="K616" i="21"/>
  <c r="M310" i="20"/>
  <c r="P310" i="20" s="1"/>
  <c r="K613" i="20"/>
  <c r="K616" i="20"/>
  <c r="L19" i="21"/>
  <c r="P25" i="21"/>
  <c r="M15" i="21"/>
  <c r="P15" i="21" s="1"/>
  <c r="O42" i="21"/>
  <c r="N96" i="21"/>
  <c r="N94" i="21" s="1"/>
  <c r="P144" i="21"/>
  <c r="M142" i="21"/>
  <c r="O599" i="21"/>
  <c r="K615" i="20"/>
  <c r="K612" i="20"/>
  <c r="K617" i="20"/>
  <c r="K623" i="20"/>
  <c r="K620" i="20"/>
  <c r="K625" i="20"/>
  <c r="M13" i="21"/>
  <c r="P13" i="21" s="1"/>
  <c r="P19" i="21"/>
  <c r="N15" i="21"/>
  <c r="N19" i="21"/>
  <c r="N142" i="21"/>
  <c r="N140" i="21" s="1"/>
  <c r="M140" i="20"/>
  <c r="M250" i="20"/>
  <c r="K626" i="20"/>
  <c r="M11" i="21"/>
  <c r="M120" i="21"/>
  <c r="O568" i="21"/>
  <c r="K615" i="21"/>
  <c r="M329" i="21"/>
  <c r="O30" i="4" l="1"/>
  <c r="K589" i="1"/>
  <c r="O275" i="19"/>
  <c r="P68" i="16"/>
  <c r="L222" i="4"/>
  <c r="L220" i="4" s="1"/>
  <c r="O220" i="4" s="1"/>
  <c r="L142" i="15"/>
  <c r="O142" i="15" s="1"/>
  <c r="O34" i="21"/>
  <c r="K200" i="1"/>
  <c r="L96" i="14"/>
  <c r="L94" i="14" s="1"/>
  <c r="O94" i="14" s="1"/>
  <c r="K164" i="1"/>
  <c r="N53" i="7"/>
  <c r="P43" i="8"/>
  <c r="P41" i="21"/>
  <c r="O57" i="20"/>
  <c r="P53" i="15"/>
  <c r="L292" i="7"/>
  <c r="L290" i="7" s="1"/>
  <c r="O290" i="7" s="1"/>
  <c r="K424" i="1"/>
  <c r="O275" i="2"/>
  <c r="L331" i="14"/>
  <c r="O331" i="14" s="1"/>
  <c r="K93" i="1"/>
  <c r="K580" i="1"/>
  <c r="O30" i="18"/>
  <c r="O333" i="12"/>
  <c r="O26" i="20"/>
  <c r="N28" i="12"/>
  <c r="O142" i="13"/>
  <c r="N20" i="20"/>
  <c r="N18" i="20" s="1"/>
  <c r="L252" i="14"/>
  <c r="O252" i="14" s="1"/>
  <c r="L68" i="17"/>
  <c r="L66" i="17" s="1"/>
  <c r="O66" i="17" s="1"/>
  <c r="L120" i="16"/>
  <c r="O120" i="16" s="1"/>
  <c r="N53" i="9"/>
  <c r="P53" i="9" s="1"/>
  <c r="L310" i="3"/>
  <c r="O310" i="3" s="1"/>
  <c r="O312" i="3"/>
  <c r="M94" i="2"/>
  <c r="P94" i="2" s="1"/>
  <c r="O224" i="18"/>
  <c r="O314" i="3"/>
  <c r="O96" i="7"/>
  <c r="P312" i="6"/>
  <c r="O331" i="12"/>
  <c r="O455" i="1"/>
  <c r="O383" i="1"/>
  <c r="L273" i="16"/>
  <c r="O273" i="16" s="1"/>
  <c r="L96" i="2"/>
  <c r="O96" i="2" s="1"/>
  <c r="P333" i="1"/>
  <c r="L222" i="9"/>
  <c r="O222" i="9" s="1"/>
  <c r="L252" i="19"/>
  <c r="L250" i="19" s="1"/>
  <c r="O250" i="19" s="1"/>
  <c r="P68" i="20"/>
  <c r="P68" i="17"/>
  <c r="P55" i="10"/>
  <c r="P142" i="6"/>
  <c r="M118" i="10"/>
  <c r="P118" i="10" s="1"/>
  <c r="M94" i="12"/>
  <c r="P94" i="12" s="1"/>
  <c r="K398" i="1"/>
  <c r="L252" i="2"/>
  <c r="L250" i="2" s="1"/>
  <c r="L292" i="20"/>
  <c r="O292" i="20" s="1"/>
  <c r="P70" i="1"/>
  <c r="N11" i="4"/>
  <c r="N9" i="4" s="1"/>
  <c r="P271" i="3"/>
  <c r="L14" i="4"/>
  <c r="O14" i="4" s="1"/>
  <c r="K402" i="1"/>
  <c r="L16" i="20"/>
  <c r="O16" i="20" s="1"/>
  <c r="P68" i="9"/>
  <c r="O385" i="1"/>
  <c r="O32" i="3"/>
  <c r="P271" i="21"/>
  <c r="K632" i="1"/>
  <c r="O271" i="21"/>
  <c r="K465" i="1"/>
  <c r="K377" i="1"/>
  <c r="L68" i="18"/>
  <c r="O68" i="18" s="1"/>
  <c r="L55" i="3"/>
  <c r="L53" i="3" s="1"/>
  <c r="O53" i="3" s="1"/>
  <c r="K435" i="1"/>
  <c r="K635" i="1"/>
  <c r="K431" i="1"/>
  <c r="M26" i="15"/>
  <c r="M20" i="15" s="1"/>
  <c r="L142" i="19"/>
  <c r="O142" i="19" s="1"/>
  <c r="O53" i="20"/>
  <c r="K429" i="1"/>
  <c r="K428" i="1"/>
  <c r="P273" i="21"/>
  <c r="O273" i="21"/>
  <c r="L55" i="11"/>
  <c r="L53" i="11" s="1"/>
  <c r="O53" i="11" s="1"/>
  <c r="L252" i="21"/>
  <c r="L250" i="21" s="1"/>
  <c r="O250" i="21" s="1"/>
  <c r="K573" i="1"/>
  <c r="O406" i="1"/>
  <c r="O252" i="2"/>
  <c r="K229" i="1"/>
  <c r="O580" i="1"/>
  <c r="O354" i="1"/>
  <c r="K497" i="1"/>
  <c r="M118" i="15"/>
  <c r="P118" i="15" s="1"/>
  <c r="M96" i="15"/>
  <c r="M94" i="15" s="1"/>
  <c r="K341" i="1"/>
  <c r="K482" i="1"/>
  <c r="O275" i="21"/>
  <c r="O34" i="16"/>
  <c r="N11" i="20"/>
  <c r="N9" i="20" s="1"/>
  <c r="O30" i="3"/>
  <c r="O275" i="11"/>
  <c r="K420" i="1"/>
  <c r="O120" i="11"/>
  <c r="K235" i="1"/>
  <c r="O333" i="17"/>
  <c r="L142" i="3"/>
  <c r="L140" i="3" s="1"/>
  <c r="K474" i="1"/>
  <c r="K201" i="1"/>
  <c r="L55" i="2"/>
  <c r="L53" i="2" s="1"/>
  <c r="O53" i="2" s="1"/>
  <c r="O74" i="1"/>
  <c r="K426" i="1"/>
  <c r="K266" i="1"/>
  <c r="M118" i="3"/>
  <c r="P118" i="3" s="1"/>
  <c r="L331" i="3"/>
  <c r="O331" i="3" s="1"/>
  <c r="K265" i="1"/>
  <c r="K564" i="1"/>
  <c r="L55" i="15"/>
  <c r="O55" i="15" s="1"/>
  <c r="L68" i="5"/>
  <c r="O68" i="5" s="1"/>
  <c r="K189" i="1"/>
  <c r="L120" i="10"/>
  <c r="O120" i="10" s="1"/>
  <c r="O45" i="7"/>
  <c r="K629" i="1"/>
  <c r="K375" i="1"/>
  <c r="K173" i="1"/>
  <c r="K215" i="1"/>
  <c r="O122" i="11"/>
  <c r="I367" i="1"/>
  <c r="K367" i="1" s="1"/>
  <c r="P314" i="1"/>
  <c r="O437" i="1"/>
  <c r="K350" i="1"/>
  <c r="O582" i="1"/>
  <c r="K455" i="1"/>
  <c r="L68" i="9"/>
  <c r="O68" i="9" s="1"/>
  <c r="L222" i="6"/>
  <c r="O222" i="6" s="1"/>
  <c r="P43" i="10"/>
  <c r="K376" i="1"/>
  <c r="K340" i="1"/>
  <c r="O457" i="1"/>
  <c r="K396" i="1"/>
  <c r="L43" i="5"/>
  <c r="O43" i="5" s="1"/>
  <c r="P98" i="1"/>
  <c r="P252" i="10"/>
  <c r="K86" i="1"/>
  <c r="K560" i="1"/>
  <c r="L120" i="19"/>
  <c r="O120" i="19" s="1"/>
  <c r="O597" i="1"/>
  <c r="K82" i="1"/>
  <c r="L142" i="21"/>
  <c r="L140" i="21" s="1"/>
  <c r="O140" i="21" s="1"/>
  <c r="L292" i="14"/>
  <c r="O292" i="14" s="1"/>
  <c r="L252" i="8"/>
  <c r="O252" i="8" s="1"/>
  <c r="K473" i="1"/>
  <c r="K423" i="1"/>
  <c r="L252" i="15"/>
  <c r="O252" i="15" s="1"/>
  <c r="P254" i="1"/>
  <c r="K419" i="1"/>
  <c r="P140" i="6"/>
  <c r="L292" i="5"/>
  <c r="O292" i="5" s="1"/>
  <c r="K597" i="1"/>
  <c r="K84" i="1"/>
  <c r="K416" i="1"/>
  <c r="K498" i="1"/>
  <c r="N11" i="16"/>
  <c r="N9" i="16" s="1"/>
  <c r="O144" i="13"/>
  <c r="P329" i="3"/>
  <c r="P220" i="7"/>
  <c r="O31" i="7"/>
  <c r="L43" i="14"/>
  <c r="L41" i="14" s="1"/>
  <c r="O41" i="14" s="1"/>
  <c r="L11" i="7"/>
  <c r="L9" i="7" s="1"/>
  <c r="L312" i="4"/>
  <c r="O312" i="4" s="1"/>
  <c r="O98" i="6"/>
  <c r="O564" i="1"/>
  <c r="L55" i="10"/>
  <c r="O55" i="10" s="1"/>
  <c r="K285" i="1"/>
  <c r="L142" i="7"/>
  <c r="O142" i="7" s="1"/>
  <c r="O294" i="19"/>
  <c r="O32" i="8"/>
  <c r="O32" i="6"/>
  <c r="K634" i="1"/>
  <c r="K547" i="1"/>
  <c r="K380" i="1"/>
  <c r="O26" i="7"/>
  <c r="O30" i="8"/>
  <c r="L290" i="19"/>
  <c r="O290" i="19" s="1"/>
  <c r="N29" i="11"/>
  <c r="N28" i="11" s="1"/>
  <c r="O45" i="4"/>
  <c r="L331" i="8"/>
  <c r="O331" i="8" s="1"/>
  <c r="N12" i="6"/>
  <c r="N10" i="6" s="1"/>
  <c r="L43" i="20"/>
  <c r="O43" i="20" s="1"/>
  <c r="L68" i="15"/>
  <c r="O68" i="15" s="1"/>
  <c r="O224" i="14"/>
  <c r="L96" i="4"/>
  <c r="O96" i="4" s="1"/>
  <c r="M290" i="20"/>
  <c r="P290" i="20" s="1"/>
  <c r="L55" i="5"/>
  <c r="O55" i="5" s="1"/>
  <c r="K368" i="1"/>
  <c r="K92" i="1"/>
  <c r="L120" i="9"/>
  <c r="O120" i="9" s="1"/>
  <c r="K289" i="1"/>
  <c r="L312" i="19"/>
  <c r="L310" i="19" s="1"/>
  <c r="O310" i="19" s="1"/>
  <c r="K349" i="1"/>
  <c r="L292" i="17"/>
  <c r="O292" i="17" s="1"/>
  <c r="L96" i="10"/>
  <c r="L94" i="10" s="1"/>
  <c r="O94" i="10" s="1"/>
  <c r="O144" i="4"/>
  <c r="O435" i="1"/>
  <c r="L55" i="8"/>
  <c r="O55" i="8" s="1"/>
  <c r="O31" i="3"/>
  <c r="K499" i="1"/>
  <c r="K631" i="1"/>
  <c r="N11" i="14"/>
  <c r="N9" i="14" s="1"/>
  <c r="P222" i="15"/>
  <c r="P294" i="1"/>
  <c r="L29" i="3"/>
  <c r="O29" i="3" s="1"/>
  <c r="L55" i="16"/>
  <c r="L53" i="16" s="1"/>
  <c r="O53" i="16" s="1"/>
  <c r="O43" i="16"/>
  <c r="P26" i="4"/>
  <c r="K591" i="1"/>
  <c r="P310" i="6"/>
  <c r="N11" i="6"/>
  <c r="N9" i="6" s="1"/>
  <c r="N12" i="5"/>
  <c r="P12" i="5" s="1"/>
  <c r="N28" i="5"/>
  <c r="K397" i="1"/>
  <c r="K432" i="1"/>
  <c r="K370" i="1"/>
  <c r="L120" i="13"/>
  <c r="O120" i="13" s="1"/>
  <c r="M310" i="8"/>
  <c r="P310" i="8" s="1"/>
  <c r="K343" i="1"/>
  <c r="K87" i="1"/>
  <c r="P142" i="19"/>
  <c r="L55" i="21"/>
  <c r="O55" i="21" s="1"/>
  <c r="O254" i="9"/>
  <c r="L312" i="6"/>
  <c r="L310" i="6" s="1"/>
  <c r="O310" i="6" s="1"/>
  <c r="K595" i="1"/>
  <c r="P331" i="21"/>
  <c r="L43" i="11"/>
  <c r="L41" i="11" s="1"/>
  <c r="O41" i="11" s="1"/>
  <c r="O380" i="1"/>
  <c r="K108" i="1"/>
  <c r="O331" i="17"/>
  <c r="P273" i="16"/>
  <c r="O459" i="1"/>
  <c r="L29" i="16"/>
  <c r="O29" i="16" s="1"/>
  <c r="L273" i="13"/>
  <c r="O273" i="13" s="1"/>
  <c r="L331" i="10"/>
  <c r="O331" i="10" s="1"/>
  <c r="L142" i="9"/>
  <c r="L140" i="9" s="1"/>
  <c r="O140" i="9" s="1"/>
  <c r="P271" i="10"/>
  <c r="L68" i="7"/>
  <c r="O68" i="7" s="1"/>
  <c r="K117" i="1"/>
  <c r="L43" i="17"/>
  <c r="L41" i="17" s="1"/>
  <c r="O34" i="18"/>
  <c r="O439" i="1"/>
  <c r="K133" i="1"/>
  <c r="K619" i="1"/>
  <c r="O337" i="1"/>
  <c r="K401" i="1"/>
  <c r="K216" i="1"/>
  <c r="K328" i="1"/>
  <c r="K264" i="1"/>
  <c r="L68" i="3"/>
  <c r="O68" i="3" s="1"/>
  <c r="L222" i="17"/>
  <c r="L220" i="17" s="1"/>
  <c r="O220" i="17" s="1"/>
  <c r="N12" i="7"/>
  <c r="M250" i="7"/>
  <c r="P250" i="7" s="1"/>
  <c r="K617" i="1"/>
  <c r="P68" i="12"/>
  <c r="K345" i="1"/>
  <c r="L252" i="13"/>
  <c r="O252" i="13" s="1"/>
  <c r="O32" i="9"/>
  <c r="L331" i="5"/>
  <c r="O331" i="5" s="1"/>
  <c r="K614" i="1"/>
  <c r="K613" i="1"/>
  <c r="O222" i="3"/>
  <c r="K422" i="1"/>
  <c r="K81" i="1"/>
  <c r="O599" i="1"/>
  <c r="L312" i="15"/>
  <c r="L310" i="15" s="1"/>
  <c r="O310" i="15" s="1"/>
  <c r="M290" i="14"/>
  <c r="P290" i="14" s="1"/>
  <c r="P222" i="6"/>
  <c r="P329" i="19"/>
  <c r="K593" i="1"/>
  <c r="P43" i="12"/>
  <c r="L331" i="11"/>
  <c r="O331" i="11" s="1"/>
  <c r="L252" i="12"/>
  <c r="O252" i="12" s="1"/>
  <c r="L142" i="8"/>
  <c r="O142" i="8" s="1"/>
  <c r="P220" i="6"/>
  <c r="K612" i="1"/>
  <c r="K132" i="1"/>
  <c r="K65" i="1"/>
  <c r="O254" i="20"/>
  <c r="L292" i="15"/>
  <c r="O292" i="15" s="1"/>
  <c r="L222" i="5"/>
  <c r="L220" i="5" s="1"/>
  <c r="O220" i="5" s="1"/>
  <c r="L120" i="5"/>
  <c r="O120" i="5" s="1"/>
  <c r="L120" i="2"/>
  <c r="L118" i="2" s="1"/>
  <c r="O118" i="2" s="1"/>
  <c r="O224" i="3"/>
  <c r="L312" i="13"/>
  <c r="L310" i="13" s="1"/>
  <c r="O310" i="13" s="1"/>
  <c r="O32" i="10"/>
  <c r="K616" i="1"/>
  <c r="K199" i="1"/>
  <c r="K611" i="1"/>
  <c r="P271" i="16"/>
  <c r="M26" i="16"/>
  <c r="P26" i="16" s="1"/>
  <c r="L13" i="6"/>
  <c r="O13" i="6" s="1"/>
  <c r="M290" i="5"/>
  <c r="P290" i="5" s="1"/>
  <c r="O45" i="2"/>
  <c r="K83" i="1"/>
  <c r="O34" i="19"/>
  <c r="O222" i="19"/>
  <c r="L43" i="13"/>
  <c r="O43" i="13" s="1"/>
  <c r="L13" i="4"/>
  <c r="O13" i="4" s="1"/>
  <c r="O333" i="4"/>
  <c r="K113" i="1"/>
  <c r="K618" i="1"/>
  <c r="K249" i="1"/>
  <c r="O144" i="5"/>
  <c r="K417" i="1"/>
  <c r="K427" i="1"/>
  <c r="O533" i="1"/>
  <c r="O535" i="1"/>
  <c r="K533" i="1"/>
  <c r="K464" i="1"/>
  <c r="N28" i="3"/>
  <c r="O222" i="15"/>
  <c r="L220" i="15"/>
  <c r="O220" i="15" s="1"/>
  <c r="P329" i="21"/>
  <c r="O122" i="21"/>
  <c r="O57" i="18"/>
  <c r="P252" i="17"/>
  <c r="O314" i="16"/>
  <c r="O314" i="11"/>
  <c r="M310" i="17"/>
  <c r="P310" i="17" s="1"/>
  <c r="N28" i="10"/>
  <c r="M16" i="4"/>
  <c r="P16" i="4" s="1"/>
  <c r="K158" i="1"/>
  <c r="N11" i="10"/>
  <c r="N9" i="10" s="1"/>
  <c r="N220" i="18"/>
  <c r="P220" i="18" s="1"/>
  <c r="K110" i="1"/>
  <c r="P273" i="13"/>
  <c r="O34" i="12"/>
  <c r="L292" i="4"/>
  <c r="P68" i="11"/>
  <c r="K138" i="1"/>
  <c r="K324" i="1"/>
  <c r="M118" i="18"/>
  <c r="P118" i="18" s="1"/>
  <c r="M66" i="15"/>
  <c r="P66" i="15" s="1"/>
  <c r="O329" i="17"/>
  <c r="P53" i="7"/>
  <c r="L222" i="2"/>
  <c r="L220" i="2" s="1"/>
  <c r="O220" i="2" s="1"/>
  <c r="L312" i="17"/>
  <c r="O312" i="17" s="1"/>
  <c r="N11" i="5"/>
  <c r="N9" i="5" s="1"/>
  <c r="P222" i="16"/>
  <c r="O26" i="17"/>
  <c r="O224" i="15"/>
  <c r="N11" i="3"/>
  <c r="N9" i="3" s="1"/>
  <c r="K630" i="1"/>
  <c r="K64" i="1"/>
  <c r="P250" i="17"/>
  <c r="P312" i="11"/>
  <c r="O120" i="21"/>
  <c r="P43" i="21"/>
  <c r="M66" i="17"/>
  <c r="P66" i="17" s="1"/>
  <c r="L273" i="7"/>
  <c r="O273" i="7" s="1"/>
  <c r="P331" i="4"/>
  <c r="K551" i="1"/>
  <c r="K270" i="1"/>
  <c r="K449" i="1"/>
  <c r="O352" i="1"/>
  <c r="O568" i="1"/>
  <c r="L310" i="11"/>
  <c r="O310" i="11" s="1"/>
  <c r="O55" i="7"/>
  <c r="P68" i="19"/>
  <c r="K304" i="1"/>
  <c r="K622" i="1"/>
  <c r="O331" i="7"/>
  <c r="K381" i="1"/>
  <c r="N28" i="4"/>
  <c r="O584" i="1"/>
  <c r="N55" i="1"/>
  <c r="N53" i="1" s="1"/>
  <c r="P53" i="1" s="1"/>
  <c r="P331" i="19"/>
  <c r="O331" i="21"/>
  <c r="L220" i="16"/>
  <c r="O220" i="16" s="1"/>
  <c r="O222" i="16"/>
  <c r="O224" i="19"/>
  <c r="L329" i="7"/>
  <c r="O329" i="7" s="1"/>
  <c r="K621" i="1"/>
  <c r="K88" i="1"/>
  <c r="L312" i="8"/>
  <c r="O34" i="4"/>
  <c r="K623" i="1"/>
  <c r="K626" i="1"/>
  <c r="O401" i="1"/>
  <c r="N31" i="1"/>
  <c r="N29" i="1" s="1"/>
  <c r="K306" i="1"/>
  <c r="K628" i="1"/>
  <c r="M66" i="11"/>
  <c r="P66" i="11" s="1"/>
  <c r="L96" i="11"/>
  <c r="L94" i="11" s="1"/>
  <c r="O94" i="11" s="1"/>
  <c r="O98" i="8"/>
  <c r="M66" i="4"/>
  <c r="P66" i="4" s="1"/>
  <c r="P57" i="1"/>
  <c r="P120" i="20"/>
  <c r="L312" i="10"/>
  <c r="O312" i="10" s="1"/>
  <c r="K625" i="1"/>
  <c r="L312" i="2"/>
  <c r="L310" i="2" s="1"/>
  <c r="K112" i="1"/>
  <c r="M271" i="17"/>
  <c r="P271" i="17" s="1"/>
  <c r="L292" i="13"/>
  <c r="O292" i="13" s="1"/>
  <c r="P55" i="14"/>
  <c r="O32" i="4"/>
  <c r="K620" i="1"/>
  <c r="O142" i="4"/>
  <c r="O333" i="21"/>
  <c r="K309" i="1"/>
  <c r="P275" i="1"/>
  <c r="L329" i="21"/>
  <c r="O329" i="21" s="1"/>
  <c r="L273" i="17"/>
  <c r="O273" i="17" s="1"/>
  <c r="L331" i="13"/>
  <c r="L329" i="13" s="1"/>
  <c r="O329" i="13" s="1"/>
  <c r="L68" i="12"/>
  <c r="O68" i="12" s="1"/>
  <c r="L222" i="8"/>
  <c r="O222" i="8" s="1"/>
  <c r="O224" i="16"/>
  <c r="K425" i="1"/>
  <c r="K466" i="1"/>
  <c r="L273" i="14"/>
  <c r="L271" i="14" s="1"/>
  <c r="K624" i="1"/>
  <c r="P252" i="2"/>
  <c r="K481" i="1"/>
  <c r="M310" i="14"/>
  <c r="P310" i="14" s="1"/>
  <c r="O34" i="15"/>
  <c r="N140" i="4"/>
  <c r="O140" i="4" s="1"/>
  <c r="O102" i="1"/>
  <c r="O553" i="1"/>
  <c r="O312" i="5"/>
  <c r="L310" i="5"/>
  <c r="O310" i="5" s="1"/>
  <c r="L43" i="18"/>
  <c r="L41" i="18" s="1"/>
  <c r="L273" i="10"/>
  <c r="O273" i="10" s="1"/>
  <c r="L13" i="10"/>
  <c r="O13" i="10" s="1"/>
  <c r="L312" i="7"/>
  <c r="O331" i="6"/>
  <c r="K430" i="1"/>
  <c r="L68" i="19"/>
  <c r="O68" i="19" s="1"/>
  <c r="L55" i="12"/>
  <c r="O55" i="12" s="1"/>
  <c r="L11" i="4"/>
  <c r="L9" i="4" s="1"/>
  <c r="O9" i="4" s="1"/>
  <c r="N33" i="1"/>
  <c r="N13" i="1" s="1"/>
  <c r="K109" i="1"/>
  <c r="N271" i="4"/>
  <c r="O314" i="5"/>
  <c r="P22" i="10"/>
  <c r="P68" i="5"/>
  <c r="L68" i="6"/>
  <c r="O68" i="6" s="1"/>
  <c r="L68" i="20"/>
  <c r="O68" i="20" s="1"/>
  <c r="P49" i="6"/>
  <c r="P222" i="5"/>
  <c r="L68" i="4"/>
  <c r="O68" i="4" s="1"/>
  <c r="O30" i="5"/>
  <c r="L29" i="4"/>
  <c r="P55" i="18"/>
  <c r="L29" i="9"/>
  <c r="L28" i="9" s="1"/>
  <c r="K80" i="1"/>
  <c r="O273" i="20"/>
  <c r="L14" i="20"/>
  <c r="O32" i="18"/>
  <c r="N53" i="8"/>
  <c r="P53" i="8" s="1"/>
  <c r="K213" i="1"/>
  <c r="O16" i="5"/>
  <c r="L273" i="15"/>
  <c r="O273" i="15" s="1"/>
  <c r="L68" i="16"/>
  <c r="O68" i="16" s="1"/>
  <c r="O275" i="12"/>
  <c r="M66" i="21"/>
  <c r="P66" i="21" s="1"/>
  <c r="L312" i="18"/>
  <c r="L310" i="18" s="1"/>
  <c r="O310" i="18" s="1"/>
  <c r="P329" i="16"/>
  <c r="O34" i="6"/>
  <c r="O34" i="3"/>
  <c r="K418" i="1"/>
  <c r="O555" i="1"/>
  <c r="P122" i="1"/>
  <c r="O66" i="11"/>
  <c r="K615" i="1"/>
  <c r="L118" i="12"/>
  <c r="O118" i="12" s="1"/>
  <c r="O120" i="12"/>
  <c r="O275" i="20"/>
  <c r="O57" i="19"/>
  <c r="P140" i="17"/>
  <c r="O45" i="16"/>
  <c r="P271" i="12"/>
  <c r="P96" i="14"/>
  <c r="O57" i="7"/>
  <c r="O224" i="7"/>
  <c r="L13" i="5"/>
  <c r="O13" i="5" s="1"/>
  <c r="L96" i="5"/>
  <c r="L94" i="5" s="1"/>
  <c r="O94" i="5" s="1"/>
  <c r="O122" i="12"/>
  <c r="P96" i="6"/>
  <c r="K176" i="1"/>
  <c r="M118" i="20"/>
  <c r="P118" i="20" s="1"/>
  <c r="L252" i="11"/>
  <c r="O252" i="11" s="1"/>
  <c r="P292" i="21"/>
  <c r="L96" i="21"/>
  <c r="O96" i="21" s="1"/>
  <c r="P142" i="17"/>
  <c r="L292" i="8"/>
  <c r="L290" i="8" s="1"/>
  <c r="O290" i="8" s="1"/>
  <c r="L55" i="9"/>
  <c r="L53" i="9" s="1"/>
  <c r="O34" i="7"/>
  <c r="K186" i="1"/>
  <c r="K633" i="1"/>
  <c r="M290" i="13"/>
  <c r="P290" i="13" s="1"/>
  <c r="L273" i="4"/>
  <c r="O273" i="4" s="1"/>
  <c r="O96" i="6"/>
  <c r="L14" i="5"/>
  <c r="K85" i="1"/>
  <c r="K451" i="1"/>
  <c r="L292" i="11"/>
  <c r="L290" i="11" s="1"/>
  <c r="O290" i="11" s="1"/>
  <c r="L273" i="9"/>
  <c r="L271" i="9" s="1"/>
  <c r="O142" i="5"/>
  <c r="P222" i="21"/>
  <c r="P55" i="15"/>
  <c r="P22" i="6"/>
  <c r="O49" i="1"/>
  <c r="L43" i="15"/>
  <c r="L41" i="15" s="1"/>
  <c r="O41" i="15" s="1"/>
  <c r="O11" i="3"/>
  <c r="P41" i="20"/>
  <c r="N20" i="19"/>
  <c r="N18" i="19" s="1"/>
  <c r="P220" i="19"/>
  <c r="K111" i="1"/>
  <c r="O404" i="1"/>
  <c r="L16" i="17"/>
  <c r="O16" i="17" s="1"/>
  <c r="N11" i="15"/>
  <c r="N9" i="15" s="1"/>
  <c r="L310" i="9"/>
  <c r="O310" i="9" s="1"/>
  <c r="P142" i="5"/>
  <c r="O34" i="2"/>
  <c r="O551" i="1"/>
  <c r="P140" i="5"/>
  <c r="L310" i="21"/>
  <c r="O310" i="21" s="1"/>
  <c r="O312" i="21"/>
  <c r="O273" i="2"/>
  <c r="L271" i="2"/>
  <c r="O271" i="2" s="1"/>
  <c r="O252" i="4"/>
  <c r="L250" i="4"/>
  <c r="O250" i="4" s="1"/>
  <c r="P55" i="21"/>
  <c r="L331" i="19"/>
  <c r="L329" i="19" s="1"/>
  <c r="O329" i="19" s="1"/>
  <c r="L252" i="17"/>
  <c r="M43" i="16"/>
  <c r="P43" i="16" s="1"/>
  <c r="L252" i="16"/>
  <c r="O252" i="16" s="1"/>
  <c r="P222" i="13"/>
  <c r="M118" i="14"/>
  <c r="P118" i="14" s="1"/>
  <c r="O98" i="12"/>
  <c r="P43" i="9"/>
  <c r="L68" i="10"/>
  <c r="L66" i="10" s="1"/>
  <c r="N271" i="6"/>
  <c r="N37" i="6" s="1"/>
  <c r="O333" i="6"/>
  <c r="L273" i="6"/>
  <c r="O273" i="6" s="1"/>
  <c r="L43" i="3"/>
  <c r="L41" i="3" s="1"/>
  <c r="N66" i="19"/>
  <c r="P66" i="19" s="1"/>
  <c r="O32" i="14"/>
  <c r="O314" i="21"/>
  <c r="O68" i="11"/>
  <c r="O34" i="5"/>
  <c r="O55" i="20"/>
  <c r="N32" i="1"/>
  <c r="N30" i="1" s="1"/>
  <c r="M118" i="9"/>
  <c r="P118" i="9" s="1"/>
  <c r="O314" i="12"/>
  <c r="L252" i="18"/>
  <c r="O252" i="18" s="1"/>
  <c r="L22" i="17"/>
  <c r="O22" i="17" s="1"/>
  <c r="M310" i="15"/>
  <c r="P310" i="15" s="1"/>
  <c r="O34" i="17"/>
  <c r="L292" i="12"/>
  <c r="O292" i="12" s="1"/>
  <c r="P222" i="11"/>
  <c r="N28" i="16"/>
  <c r="L252" i="6"/>
  <c r="P118" i="4"/>
  <c r="L273" i="3"/>
  <c r="O273" i="3" s="1"/>
  <c r="N310" i="2"/>
  <c r="P310" i="2" s="1"/>
  <c r="O224" i="20"/>
  <c r="P120" i="17"/>
  <c r="M20" i="5"/>
  <c r="M18" i="5" s="1"/>
  <c r="N28" i="6"/>
  <c r="L142" i="2"/>
  <c r="L140" i="2" s="1"/>
  <c r="O144" i="20"/>
  <c r="M271" i="18"/>
  <c r="P271" i="18" s="1"/>
  <c r="L120" i="17"/>
  <c r="O120" i="17" s="1"/>
  <c r="M220" i="16"/>
  <c r="P220" i="16" s="1"/>
  <c r="L292" i="9"/>
  <c r="O292" i="9" s="1"/>
  <c r="M94" i="8"/>
  <c r="P94" i="8" s="1"/>
  <c r="L120" i="6"/>
  <c r="O120" i="6" s="1"/>
  <c r="O32" i="5"/>
  <c r="P22" i="4"/>
  <c r="O331" i="4"/>
  <c r="P120" i="4"/>
  <c r="L55" i="4"/>
  <c r="L53" i="4" s="1"/>
  <c r="O53" i="4" s="1"/>
  <c r="P144" i="1"/>
  <c r="L314" i="1"/>
  <c r="O314" i="1" s="1"/>
  <c r="L14" i="18"/>
  <c r="N28" i="9"/>
  <c r="O30" i="11"/>
  <c r="P273" i="2"/>
  <c r="L29" i="2"/>
  <c r="O29" i="2" s="1"/>
  <c r="P220" i="9"/>
  <c r="N53" i="13"/>
  <c r="P53" i="13" s="1"/>
  <c r="O254" i="4"/>
  <c r="K421" i="1"/>
  <c r="L11" i="2"/>
  <c r="L252" i="7"/>
  <c r="O252" i="7" s="1"/>
  <c r="L292" i="6"/>
  <c r="L290" i="6" s="1"/>
  <c r="O290" i="6" s="1"/>
  <c r="P120" i="2"/>
  <c r="N29" i="18"/>
  <c r="N28" i="18" s="1"/>
  <c r="L222" i="11"/>
  <c r="L220" i="11" s="1"/>
  <c r="O220" i="11" s="1"/>
  <c r="M310" i="12"/>
  <c r="P310" i="12" s="1"/>
  <c r="M290" i="4"/>
  <c r="P290" i="4" s="1"/>
  <c r="K204" i="1"/>
  <c r="O30" i="6"/>
  <c r="P55" i="17"/>
  <c r="N28" i="21"/>
  <c r="P53" i="17"/>
  <c r="P222" i="10"/>
  <c r="N11" i="9"/>
  <c r="N9" i="9" s="1"/>
  <c r="L120" i="3"/>
  <c r="O120" i="3" s="1"/>
  <c r="P271" i="20"/>
  <c r="P222" i="19"/>
  <c r="L142" i="17"/>
  <c r="O142" i="17" s="1"/>
  <c r="O252" i="20"/>
  <c r="M310" i="13"/>
  <c r="P310" i="13" s="1"/>
  <c r="L252" i="10"/>
  <c r="O252" i="10" s="1"/>
  <c r="M41" i="10"/>
  <c r="P41" i="10" s="1"/>
  <c r="L250" i="9"/>
  <c r="O250" i="9" s="1"/>
  <c r="O70" i="11"/>
  <c r="L22" i="11"/>
  <c r="L20" i="11" s="1"/>
  <c r="L18" i="11" s="1"/>
  <c r="O30" i="9"/>
  <c r="O601" i="1"/>
  <c r="P250" i="20"/>
  <c r="L312" i="14"/>
  <c r="O312" i="14" s="1"/>
  <c r="O224" i="12"/>
  <c r="O32" i="12"/>
  <c r="L331" i="9"/>
  <c r="O331" i="9" s="1"/>
  <c r="O122" i="7"/>
  <c r="N14" i="18"/>
  <c r="N12" i="20"/>
  <c r="N10" i="20" s="1"/>
  <c r="O314" i="14"/>
  <c r="N66" i="8"/>
  <c r="P66" i="8" s="1"/>
  <c r="P16" i="5"/>
  <c r="N37" i="20"/>
  <c r="L222" i="13"/>
  <c r="L220" i="13" s="1"/>
  <c r="O220" i="13" s="1"/>
  <c r="O34" i="9"/>
  <c r="N14" i="5"/>
  <c r="M331" i="7"/>
  <c r="M329" i="7" s="1"/>
  <c r="P329" i="7" s="1"/>
  <c r="O347" i="1"/>
  <c r="N29" i="7"/>
  <c r="N28" i="7" s="1"/>
  <c r="N11" i="7"/>
  <c r="N9" i="7" s="1"/>
  <c r="O250" i="20"/>
  <c r="L22" i="14"/>
  <c r="L20" i="14" s="1"/>
  <c r="P140" i="7"/>
  <c r="P142" i="7"/>
  <c r="P43" i="20"/>
  <c r="P220" i="21"/>
  <c r="P273" i="20"/>
  <c r="L118" i="18"/>
  <c r="O118" i="18" s="1"/>
  <c r="O333" i="18"/>
  <c r="O333" i="15"/>
  <c r="K219" i="1"/>
  <c r="N41" i="19"/>
  <c r="O331" i="15"/>
  <c r="L43" i="12"/>
  <c r="O43" i="12" s="1"/>
  <c r="O294" i="3"/>
  <c r="M20" i="4"/>
  <c r="M18" i="4" s="1"/>
  <c r="P252" i="20"/>
  <c r="P331" i="3"/>
  <c r="L68" i="21"/>
  <c r="O68" i="21" s="1"/>
  <c r="L34" i="1"/>
  <c r="N20" i="6"/>
  <c r="N18" i="6" s="1"/>
  <c r="P22" i="19"/>
  <c r="L312" i="20"/>
  <c r="O312" i="20" s="1"/>
  <c r="L11" i="18"/>
  <c r="O11" i="18" s="1"/>
  <c r="L55" i="13"/>
  <c r="L329" i="6"/>
  <c r="O329" i="6" s="1"/>
  <c r="P22" i="5"/>
  <c r="L22" i="3"/>
  <c r="O22" i="3" s="1"/>
  <c r="N220" i="3"/>
  <c r="P220" i="3" s="1"/>
  <c r="M26" i="17"/>
  <c r="M20" i="17" s="1"/>
  <c r="M18" i="17" s="1"/>
  <c r="P55" i="19"/>
  <c r="L275" i="1"/>
  <c r="O275" i="1" s="1"/>
  <c r="P273" i="3"/>
  <c r="O31" i="5"/>
  <c r="L11" i="5"/>
  <c r="P55" i="6"/>
  <c r="O271" i="20"/>
  <c r="N28" i="20"/>
  <c r="L13" i="19"/>
  <c r="O13" i="19" s="1"/>
  <c r="L96" i="18"/>
  <c r="O96" i="18" s="1"/>
  <c r="L11" i="16"/>
  <c r="O11" i="16" s="1"/>
  <c r="L13" i="15"/>
  <c r="O13" i="15" s="1"/>
  <c r="L55" i="14"/>
  <c r="L53" i="14" s="1"/>
  <c r="O53" i="14" s="1"/>
  <c r="L22" i="16"/>
  <c r="O22" i="16" s="1"/>
  <c r="L68" i="13"/>
  <c r="P273" i="11"/>
  <c r="L142" i="11"/>
  <c r="L13" i="8"/>
  <c r="O13" i="8" s="1"/>
  <c r="O45" i="6"/>
  <c r="O55" i="6"/>
  <c r="L252" i="5"/>
  <c r="L250" i="5" s="1"/>
  <c r="O250" i="5" s="1"/>
  <c r="O34" i="10"/>
  <c r="O55" i="19"/>
  <c r="O273" i="18"/>
  <c r="L120" i="15"/>
  <c r="O120" i="15" s="1"/>
  <c r="P271" i="11"/>
  <c r="L118" i="11"/>
  <c r="O118" i="11" s="1"/>
  <c r="P120" i="11"/>
  <c r="N30" i="14"/>
  <c r="O30" i="14" s="1"/>
  <c r="N11" i="12"/>
  <c r="N9" i="12" s="1"/>
  <c r="O144" i="11"/>
  <c r="L94" i="8"/>
  <c r="O94" i="8" s="1"/>
  <c r="L13" i="9"/>
  <c r="O13" i="9" s="1"/>
  <c r="P55" i="2"/>
  <c r="N28" i="13"/>
  <c r="N12" i="9"/>
  <c r="N10" i="9" s="1"/>
  <c r="O34" i="8"/>
  <c r="O26" i="5"/>
  <c r="P140" i="19"/>
  <c r="P53" i="19"/>
  <c r="M53" i="18"/>
  <c r="P53" i="18" s="1"/>
  <c r="O31" i="18"/>
  <c r="P222" i="14"/>
  <c r="N11" i="13"/>
  <c r="N9" i="13" s="1"/>
  <c r="L94" i="12"/>
  <c r="O94" i="12" s="1"/>
  <c r="N53" i="12"/>
  <c r="P53" i="12" s="1"/>
  <c r="L142" i="6"/>
  <c r="L140" i="5"/>
  <c r="O140" i="5" s="1"/>
  <c r="P26" i="5"/>
  <c r="O98" i="16"/>
  <c r="L96" i="16"/>
  <c r="O122" i="18"/>
  <c r="L273" i="8"/>
  <c r="O273" i="8" s="1"/>
  <c r="L14" i="6"/>
  <c r="O14" i="6" s="1"/>
  <c r="M96" i="21"/>
  <c r="P96" i="21" s="1"/>
  <c r="O275" i="18"/>
  <c r="L292" i="16"/>
  <c r="L68" i="14"/>
  <c r="O68" i="14" s="1"/>
  <c r="L22" i="15"/>
  <c r="O22" i="15" s="1"/>
  <c r="P273" i="10"/>
  <c r="P43" i="11"/>
  <c r="L142" i="12"/>
  <c r="L140" i="12" s="1"/>
  <c r="O140" i="12" s="1"/>
  <c r="O32" i="11"/>
  <c r="L22" i="12"/>
  <c r="O22" i="12" s="1"/>
  <c r="L222" i="10"/>
  <c r="L220" i="10" s="1"/>
  <c r="O220" i="10" s="1"/>
  <c r="M118" i="6"/>
  <c r="P118" i="6" s="1"/>
  <c r="O329" i="4"/>
  <c r="P222" i="3"/>
  <c r="N11" i="21"/>
  <c r="N9" i="21" s="1"/>
  <c r="N292" i="1"/>
  <c r="L13" i="3"/>
  <c r="O13" i="3" s="1"/>
  <c r="L31" i="1"/>
  <c r="L11" i="1" s="1"/>
  <c r="P94" i="5"/>
  <c r="L224" i="1"/>
  <c r="O224" i="1" s="1"/>
  <c r="M12" i="19"/>
  <c r="M10" i="19" s="1"/>
  <c r="P331" i="18"/>
  <c r="M331" i="17"/>
  <c r="M329" i="17" s="1"/>
  <c r="P329" i="17" s="1"/>
  <c r="M220" i="13"/>
  <c r="P220" i="13" s="1"/>
  <c r="P68" i="14"/>
  <c r="M118" i="11"/>
  <c r="P118" i="11" s="1"/>
  <c r="M41" i="12"/>
  <c r="P41" i="12" s="1"/>
  <c r="O34" i="14"/>
  <c r="P329" i="4"/>
  <c r="O43" i="4"/>
  <c r="L68" i="2"/>
  <c r="L66" i="2" s="1"/>
  <c r="L23" i="1"/>
  <c r="O23" i="1" s="1"/>
  <c r="L29" i="20"/>
  <c r="O29" i="20" s="1"/>
  <c r="L11" i="20"/>
  <c r="O331" i="18"/>
  <c r="L329" i="18"/>
  <c r="O329" i="18" s="1"/>
  <c r="L144" i="1"/>
  <c r="O144" i="1" s="1"/>
  <c r="M53" i="21"/>
  <c r="P53" i="21" s="1"/>
  <c r="M118" i="17"/>
  <c r="P118" i="17" s="1"/>
  <c r="P53" i="14"/>
  <c r="N120" i="1"/>
  <c r="M41" i="8"/>
  <c r="P41" i="8" s="1"/>
  <c r="O31" i="9"/>
  <c r="L142" i="10"/>
  <c r="M66" i="6"/>
  <c r="P66" i="6" s="1"/>
  <c r="M66" i="5"/>
  <c r="P66" i="5" s="1"/>
  <c r="P331" i="15"/>
  <c r="N329" i="15"/>
  <c r="O329" i="15" s="1"/>
  <c r="O144" i="18"/>
  <c r="L142" i="18"/>
  <c r="L140" i="18" s="1"/>
  <c r="O24" i="13"/>
  <c r="L14" i="13"/>
  <c r="O14" i="13" s="1"/>
  <c r="P49" i="8"/>
  <c r="M26" i="8"/>
  <c r="M16" i="8" s="1"/>
  <c r="P16" i="8" s="1"/>
  <c r="O31" i="6"/>
  <c r="L29" i="6"/>
  <c r="O29" i="6" s="1"/>
  <c r="L11" i="6"/>
  <c r="L220" i="19"/>
  <c r="O220" i="19" s="1"/>
  <c r="M329" i="18"/>
  <c r="P329" i="18" s="1"/>
  <c r="N37" i="17"/>
  <c r="L14" i="14"/>
  <c r="O14" i="14" s="1"/>
  <c r="P66" i="12"/>
  <c r="O312" i="12"/>
  <c r="M41" i="9"/>
  <c r="P41" i="9" s="1"/>
  <c r="N14" i="9"/>
  <c r="L22" i="7"/>
  <c r="L12" i="7" s="1"/>
  <c r="L13" i="20"/>
  <c r="O13" i="20" s="1"/>
  <c r="O23" i="20"/>
  <c r="P312" i="21"/>
  <c r="M310" i="21"/>
  <c r="P310" i="21" s="1"/>
  <c r="O34" i="13"/>
  <c r="N29" i="8"/>
  <c r="N28" i="8" s="1"/>
  <c r="N11" i="8"/>
  <c r="N9" i="8" s="1"/>
  <c r="O31" i="12"/>
  <c r="L29" i="12"/>
  <c r="O29" i="12" s="1"/>
  <c r="O32" i="7"/>
  <c r="L30" i="7"/>
  <c r="O30" i="7" s="1"/>
  <c r="N20" i="4"/>
  <c r="N12" i="4"/>
  <c r="N10" i="4" s="1"/>
  <c r="L53" i="19"/>
  <c r="O53" i="19" s="1"/>
  <c r="L22" i="20"/>
  <c r="O22" i="20" s="1"/>
  <c r="P49" i="17"/>
  <c r="L14" i="10"/>
  <c r="O14" i="10" s="1"/>
  <c r="O98" i="7"/>
  <c r="P96" i="5"/>
  <c r="L120" i="20"/>
  <c r="O122" i="20"/>
  <c r="M12" i="20"/>
  <c r="P22" i="20"/>
  <c r="M96" i="17"/>
  <c r="P102" i="17"/>
  <c r="O333" i="16"/>
  <c r="L331" i="16"/>
  <c r="L329" i="16" s="1"/>
  <c r="O329" i="16" s="1"/>
  <c r="P102" i="7"/>
  <c r="M96" i="7"/>
  <c r="L29" i="10"/>
  <c r="O31" i="10"/>
  <c r="O23" i="7"/>
  <c r="L13" i="7"/>
  <c r="O13" i="7" s="1"/>
  <c r="O537" i="1"/>
  <c r="N34" i="1"/>
  <c r="M43" i="17"/>
  <c r="P43" i="17" s="1"/>
  <c r="L41" i="16"/>
  <c r="O41" i="16" s="1"/>
  <c r="L14" i="15"/>
  <c r="O14" i="15" s="1"/>
  <c r="L22" i="13"/>
  <c r="O22" i="13" s="1"/>
  <c r="N37" i="11"/>
  <c r="L96" i="9"/>
  <c r="L22" i="9"/>
  <c r="O22" i="9" s="1"/>
  <c r="O222" i="7"/>
  <c r="N37" i="5"/>
  <c r="L24" i="1"/>
  <c r="O294" i="21"/>
  <c r="L292" i="21"/>
  <c r="N29" i="19"/>
  <c r="N28" i="19" s="1"/>
  <c r="N11" i="19"/>
  <c r="N9" i="19" s="1"/>
  <c r="L29" i="19"/>
  <c r="O29" i="19" s="1"/>
  <c r="L11" i="19"/>
  <c r="O29" i="7"/>
  <c r="O24" i="9"/>
  <c r="L14" i="9"/>
  <c r="P140" i="20"/>
  <c r="N28" i="17"/>
  <c r="M220" i="10"/>
  <c r="P220" i="10" s="1"/>
  <c r="N68" i="1"/>
  <c r="O30" i="10"/>
  <c r="N37" i="7"/>
  <c r="M94" i="6"/>
  <c r="P94" i="6" s="1"/>
  <c r="L53" i="6"/>
  <c r="O53" i="6" s="1"/>
  <c r="L22" i="4"/>
  <c r="O22" i="4" s="1"/>
  <c r="P252" i="5"/>
  <c r="L120" i="4"/>
  <c r="N12" i="19"/>
  <c r="P102" i="6"/>
  <c r="M26" i="6"/>
  <c r="L14" i="7"/>
  <c r="O14" i="7" s="1"/>
  <c r="O24" i="7"/>
  <c r="M12" i="7"/>
  <c r="P22" i="7"/>
  <c r="L33" i="1"/>
  <c r="O33" i="1" s="1"/>
  <c r="O34" i="20"/>
  <c r="L331" i="20"/>
  <c r="O331" i="20" s="1"/>
  <c r="P292" i="19"/>
  <c r="M220" i="14"/>
  <c r="P220" i="14" s="1"/>
  <c r="M118" i="12"/>
  <c r="P118" i="12" s="1"/>
  <c r="L96" i="13"/>
  <c r="M290" i="10"/>
  <c r="P290" i="10" s="1"/>
  <c r="L220" i="7"/>
  <c r="O220" i="7" s="1"/>
  <c r="P250" i="5"/>
  <c r="L273" i="5"/>
  <c r="M53" i="2"/>
  <c r="P53" i="2" s="1"/>
  <c r="L22" i="2"/>
  <c r="L20" i="2" s="1"/>
  <c r="P26" i="19"/>
  <c r="N16" i="19"/>
  <c r="P16" i="19" s="1"/>
  <c r="O23" i="18"/>
  <c r="L13" i="18"/>
  <c r="O13" i="18" s="1"/>
  <c r="O566" i="1"/>
  <c r="L32" i="1"/>
  <c r="N37" i="21"/>
  <c r="M250" i="19"/>
  <c r="P250" i="19" s="1"/>
  <c r="M331" i="11"/>
  <c r="P331" i="11" s="1"/>
  <c r="M142" i="1"/>
  <c r="P222" i="7"/>
  <c r="L22" i="6"/>
  <c r="O22" i="6" s="1"/>
  <c r="L22" i="5"/>
  <c r="O22" i="5" s="1"/>
  <c r="O275" i="5"/>
  <c r="L43" i="8"/>
  <c r="O45" i="8"/>
  <c r="N20" i="5"/>
  <c r="P329" i="2"/>
  <c r="O11" i="14"/>
  <c r="L9" i="14"/>
  <c r="P290" i="2"/>
  <c r="P26" i="3"/>
  <c r="M16" i="3"/>
  <c r="P16" i="3" s="1"/>
  <c r="O222" i="20"/>
  <c r="L220" i="20"/>
  <c r="O220" i="20" s="1"/>
  <c r="M290" i="18"/>
  <c r="P290" i="18" s="1"/>
  <c r="P292" i="18"/>
  <c r="P11" i="20"/>
  <c r="M9" i="20"/>
  <c r="N12" i="21"/>
  <c r="N10" i="21" s="1"/>
  <c r="N20" i="21"/>
  <c r="N18" i="21" s="1"/>
  <c r="O45" i="19"/>
  <c r="L43" i="19"/>
  <c r="L22" i="19"/>
  <c r="O32" i="19"/>
  <c r="L30" i="19"/>
  <c r="P142" i="18"/>
  <c r="N140" i="18"/>
  <c r="P22" i="18"/>
  <c r="M12" i="18"/>
  <c r="O98" i="17"/>
  <c r="L96" i="17"/>
  <c r="N140" i="15"/>
  <c r="P140" i="15" s="1"/>
  <c r="P142" i="15"/>
  <c r="M94" i="13"/>
  <c r="P94" i="13" s="1"/>
  <c r="P96" i="13"/>
  <c r="P292" i="16"/>
  <c r="M290" i="16"/>
  <c r="P290" i="16" s="1"/>
  <c r="O144" i="16"/>
  <c r="L142" i="16"/>
  <c r="M28" i="15"/>
  <c r="P28" i="15" s="1"/>
  <c r="O57" i="17"/>
  <c r="L55" i="17"/>
  <c r="L57" i="1"/>
  <c r="N28" i="15"/>
  <c r="P41" i="11"/>
  <c r="P22" i="14"/>
  <c r="M12" i="14"/>
  <c r="N20" i="13"/>
  <c r="N18" i="13" s="1"/>
  <c r="N12" i="13"/>
  <c r="N10" i="13" s="1"/>
  <c r="N220" i="12"/>
  <c r="O220" i="12" s="1"/>
  <c r="P222" i="12"/>
  <c r="L250" i="14"/>
  <c r="O250" i="14" s="1"/>
  <c r="O122" i="14"/>
  <c r="L120" i="14"/>
  <c r="M329" i="8"/>
  <c r="P329" i="8" s="1"/>
  <c r="P331" i="8"/>
  <c r="O26" i="14"/>
  <c r="L16" i="14"/>
  <c r="O16" i="14" s="1"/>
  <c r="P337" i="10"/>
  <c r="M331" i="10"/>
  <c r="O26" i="12"/>
  <c r="L16" i="12"/>
  <c r="O16" i="12" s="1"/>
  <c r="O294" i="10"/>
  <c r="L292" i="10"/>
  <c r="L9" i="9"/>
  <c r="O11" i="9"/>
  <c r="P16" i="12"/>
  <c r="L14" i="8"/>
  <c r="O14" i="8" s="1"/>
  <c r="O24" i="8"/>
  <c r="O26" i="8"/>
  <c r="M118" i="7"/>
  <c r="P118" i="7" s="1"/>
  <c r="P120" i="7"/>
  <c r="P252" i="6"/>
  <c r="M252" i="1"/>
  <c r="O43" i="7"/>
  <c r="L41" i="7"/>
  <c r="M250" i="6"/>
  <c r="P250" i="6" s="1"/>
  <c r="M9" i="6"/>
  <c r="P11" i="6"/>
  <c r="M41" i="6"/>
  <c r="P43" i="6"/>
  <c r="M220" i="4"/>
  <c r="P220" i="4" s="1"/>
  <c r="P222" i="4"/>
  <c r="P271" i="2"/>
  <c r="O16" i="6"/>
  <c r="P29" i="2"/>
  <c r="M28" i="2"/>
  <c r="P28" i="2" s="1"/>
  <c r="P22" i="3"/>
  <c r="M12" i="3"/>
  <c r="M20" i="3"/>
  <c r="N142" i="1"/>
  <c r="N140" i="2"/>
  <c r="P140" i="2" s="1"/>
  <c r="O21" i="1"/>
  <c r="L19" i="1"/>
  <c r="L30" i="21"/>
  <c r="O30" i="21" s="1"/>
  <c r="O32" i="21"/>
  <c r="P337" i="20"/>
  <c r="M331" i="20"/>
  <c r="M26" i="20"/>
  <c r="O55" i="18"/>
  <c r="L53" i="18"/>
  <c r="O53" i="18" s="1"/>
  <c r="M53" i="16"/>
  <c r="P53" i="16" s="1"/>
  <c r="P55" i="16"/>
  <c r="P22" i="17"/>
  <c r="M12" i="17"/>
  <c r="N94" i="15"/>
  <c r="P222" i="17"/>
  <c r="M220" i="17"/>
  <c r="P220" i="17" s="1"/>
  <c r="N12" i="15"/>
  <c r="N10" i="15" s="1"/>
  <c r="N20" i="15"/>
  <c r="N18" i="15" s="1"/>
  <c r="O24" i="16"/>
  <c r="L14" i="16"/>
  <c r="O14" i="16" s="1"/>
  <c r="O23" i="17"/>
  <c r="L13" i="17"/>
  <c r="O13" i="17" s="1"/>
  <c r="P19" i="16"/>
  <c r="O31" i="13"/>
  <c r="L29" i="13"/>
  <c r="L11" i="13"/>
  <c r="M118" i="13"/>
  <c r="P118" i="13" s="1"/>
  <c r="M310" i="10"/>
  <c r="P310" i="10" s="1"/>
  <c r="P312" i="10"/>
  <c r="O26" i="15"/>
  <c r="L16" i="15"/>
  <c r="O16" i="15" s="1"/>
  <c r="P55" i="11"/>
  <c r="M53" i="11"/>
  <c r="P53" i="11" s="1"/>
  <c r="M43" i="14"/>
  <c r="P49" i="14"/>
  <c r="M26" i="14"/>
  <c r="M20" i="14" s="1"/>
  <c r="O23" i="12"/>
  <c r="L13" i="12"/>
  <c r="O13" i="12" s="1"/>
  <c r="O273" i="11"/>
  <c r="N20" i="14"/>
  <c r="N18" i="14" s="1"/>
  <c r="N12" i="14"/>
  <c r="N10" i="14" s="1"/>
  <c r="P26" i="12"/>
  <c r="P273" i="8"/>
  <c r="N271" i="8"/>
  <c r="N273" i="1"/>
  <c r="P252" i="8"/>
  <c r="M250" i="8"/>
  <c r="P250" i="8" s="1"/>
  <c r="O16" i="9"/>
  <c r="O122" i="8"/>
  <c r="L120" i="8"/>
  <c r="O16" i="8"/>
  <c r="P15" i="7"/>
  <c r="M9" i="7"/>
  <c r="L94" i="7"/>
  <c r="O94" i="7" s="1"/>
  <c r="M26" i="2"/>
  <c r="M20" i="2" s="1"/>
  <c r="P337" i="2"/>
  <c r="M337" i="1"/>
  <c r="P337" i="1" s="1"/>
  <c r="P55" i="3"/>
  <c r="M53" i="3"/>
  <c r="L30" i="2"/>
  <c r="O32" i="2"/>
  <c r="L41" i="2"/>
  <c r="O43" i="2"/>
  <c r="M22" i="1"/>
  <c r="N290" i="1"/>
  <c r="O24" i="2"/>
  <c r="L14" i="2"/>
  <c r="O14" i="2" s="1"/>
  <c r="P22" i="16"/>
  <c r="M12" i="16"/>
  <c r="P292" i="15"/>
  <c r="M290" i="15"/>
  <c r="P290" i="15" s="1"/>
  <c r="L9" i="11"/>
  <c r="O11" i="11"/>
  <c r="L220" i="14"/>
  <c r="O220" i="14" s="1"/>
  <c r="O222" i="14"/>
  <c r="O19" i="14"/>
  <c r="O19" i="11"/>
  <c r="P9" i="11"/>
  <c r="N220" i="8"/>
  <c r="P222" i="8"/>
  <c r="P22" i="11"/>
  <c r="M12" i="11"/>
  <c r="O271" i="11"/>
  <c r="P9" i="10"/>
  <c r="O26" i="9"/>
  <c r="L29" i="8"/>
  <c r="O31" i="8"/>
  <c r="P49" i="7"/>
  <c r="M26" i="7"/>
  <c r="M43" i="7"/>
  <c r="M49" i="1"/>
  <c r="M53" i="6"/>
  <c r="P53" i="6" s="1"/>
  <c r="M290" i="6"/>
  <c r="P290" i="6" s="1"/>
  <c r="P292" i="6"/>
  <c r="O41" i="4"/>
  <c r="P118" i="2"/>
  <c r="O333" i="2"/>
  <c r="L331" i="2"/>
  <c r="L333" i="1"/>
  <c r="O333" i="1" s="1"/>
  <c r="P142" i="2"/>
  <c r="P74" i="1"/>
  <c r="M120" i="1"/>
  <c r="L16" i="21"/>
  <c r="O16" i="21" s="1"/>
  <c r="O26" i="21"/>
  <c r="P120" i="19"/>
  <c r="M118" i="19"/>
  <c r="P118" i="19" s="1"/>
  <c r="O294" i="18"/>
  <c r="L292" i="18"/>
  <c r="N11" i="17"/>
  <c r="N9" i="17" s="1"/>
  <c r="L30" i="17"/>
  <c r="O30" i="17" s="1"/>
  <c r="O32" i="17"/>
  <c r="O24" i="17"/>
  <c r="L14" i="17"/>
  <c r="O14" i="17" s="1"/>
  <c r="O16" i="16"/>
  <c r="P22" i="15"/>
  <c r="M12" i="15"/>
  <c r="O23" i="14"/>
  <c r="L13" i="14"/>
  <c r="O13" i="14" s="1"/>
  <c r="P43" i="13"/>
  <c r="M41" i="13"/>
  <c r="O34" i="11"/>
  <c r="P22" i="12"/>
  <c r="M12" i="12"/>
  <c r="M20" i="12"/>
  <c r="N271" i="9"/>
  <c r="P273" i="9"/>
  <c r="P331" i="13"/>
  <c r="M329" i="13"/>
  <c r="P329" i="13" s="1"/>
  <c r="O273" i="12"/>
  <c r="P252" i="11"/>
  <c r="M250" i="11"/>
  <c r="P250" i="11" s="1"/>
  <c r="P96" i="11"/>
  <c r="M94" i="11"/>
  <c r="P94" i="11" s="1"/>
  <c r="O11" i="10"/>
  <c r="L9" i="10"/>
  <c r="O24" i="11"/>
  <c r="L14" i="11"/>
  <c r="O14" i="11" s="1"/>
  <c r="P222" i="9"/>
  <c r="P142" i="8"/>
  <c r="M140" i="8"/>
  <c r="P140" i="8" s="1"/>
  <c r="O19" i="8"/>
  <c r="P9" i="8"/>
  <c r="L11" i="8"/>
  <c r="M53" i="5"/>
  <c r="P53" i="5" s="1"/>
  <c r="P55" i="5"/>
  <c r="O26" i="6"/>
  <c r="P43" i="5"/>
  <c r="M41" i="5"/>
  <c r="M10" i="5"/>
  <c r="O26" i="4"/>
  <c r="L16" i="4"/>
  <c r="O16" i="4" s="1"/>
  <c r="N140" i="3"/>
  <c r="P140" i="3" s="1"/>
  <c r="P142" i="3"/>
  <c r="P11" i="1"/>
  <c r="M9" i="1"/>
  <c r="P68" i="18"/>
  <c r="M66" i="18"/>
  <c r="P66" i="18" s="1"/>
  <c r="M9" i="17"/>
  <c r="P11" i="17"/>
  <c r="P11" i="15"/>
  <c r="M9" i="15"/>
  <c r="P142" i="21"/>
  <c r="M140" i="21"/>
  <c r="P140" i="21" s="1"/>
  <c r="P96" i="20"/>
  <c r="M94" i="20"/>
  <c r="P94" i="20" s="1"/>
  <c r="O45" i="21"/>
  <c r="L43" i="21"/>
  <c r="L22" i="21"/>
  <c r="L14" i="19"/>
  <c r="O14" i="19" s="1"/>
  <c r="M26" i="21"/>
  <c r="O224" i="21"/>
  <c r="L222" i="21"/>
  <c r="O23" i="21"/>
  <c r="L13" i="21"/>
  <c r="O13" i="21" s="1"/>
  <c r="M310" i="19"/>
  <c r="P310" i="19" s="1"/>
  <c r="P312" i="19"/>
  <c r="P49" i="18"/>
  <c r="M26" i="18"/>
  <c r="M20" i="18" s="1"/>
  <c r="M43" i="18"/>
  <c r="O98" i="19"/>
  <c r="L96" i="19"/>
  <c r="P19" i="20"/>
  <c r="O29" i="18"/>
  <c r="L28" i="18"/>
  <c r="P19" i="17"/>
  <c r="O23" i="16"/>
  <c r="L13" i="16"/>
  <c r="O13" i="16" s="1"/>
  <c r="O31" i="17"/>
  <c r="L29" i="17"/>
  <c r="L11" i="17"/>
  <c r="O26" i="16"/>
  <c r="P331" i="16"/>
  <c r="O26" i="13"/>
  <c r="L16" i="13"/>
  <c r="O16" i="13" s="1"/>
  <c r="O144" i="14"/>
  <c r="L142" i="14"/>
  <c r="O26" i="11"/>
  <c r="L16" i="11"/>
  <c r="O16" i="11" s="1"/>
  <c r="O312" i="16"/>
  <c r="L310" i="16"/>
  <c r="O310" i="16" s="1"/>
  <c r="P220" i="15"/>
  <c r="L9" i="12"/>
  <c r="O11" i="12"/>
  <c r="P273" i="12"/>
  <c r="M140" i="10"/>
  <c r="P140" i="10" s="1"/>
  <c r="P142" i="10"/>
  <c r="M250" i="9"/>
  <c r="P250" i="9" s="1"/>
  <c r="P252" i="9"/>
  <c r="O271" i="12"/>
  <c r="N20" i="12"/>
  <c r="N18" i="12" s="1"/>
  <c r="N12" i="12"/>
  <c r="N10" i="12" s="1"/>
  <c r="L22" i="10"/>
  <c r="O45" i="10"/>
  <c r="L43" i="10"/>
  <c r="L45" i="1"/>
  <c r="M66" i="9"/>
  <c r="P66" i="9" s="1"/>
  <c r="L329" i="12"/>
  <c r="O329" i="12" s="1"/>
  <c r="M26" i="10"/>
  <c r="N20" i="9"/>
  <c r="N18" i="9" s="1"/>
  <c r="P22" i="9"/>
  <c r="M12" i="9"/>
  <c r="M20" i="9"/>
  <c r="M310" i="7"/>
  <c r="P310" i="7" s="1"/>
  <c r="P43" i="4"/>
  <c r="M41" i="4"/>
  <c r="P11" i="5"/>
  <c r="M9" i="5"/>
  <c r="L53" i="7"/>
  <c r="O53" i="7" s="1"/>
  <c r="P220" i="5"/>
  <c r="N96" i="1"/>
  <c r="P102" i="3"/>
  <c r="M96" i="3"/>
  <c r="M102" i="1"/>
  <c r="P102" i="1" s="1"/>
  <c r="P43" i="2"/>
  <c r="M41" i="2"/>
  <c r="N331" i="1"/>
  <c r="O26" i="2"/>
  <c r="L16" i="2"/>
  <c r="O16" i="2" s="1"/>
  <c r="O292" i="3"/>
  <c r="L290" i="3"/>
  <c r="O290" i="3" s="1"/>
  <c r="N12" i="2"/>
  <c r="N10" i="2" s="1"/>
  <c r="N20" i="2"/>
  <c r="N18" i="2" s="1"/>
  <c r="N26" i="1"/>
  <c r="N16" i="1" s="1"/>
  <c r="P292" i="3"/>
  <c r="M290" i="3"/>
  <c r="P290" i="3" s="1"/>
  <c r="N252" i="1"/>
  <c r="N250" i="2"/>
  <c r="P250" i="2" s="1"/>
  <c r="P22" i="2"/>
  <c r="M12" i="2"/>
  <c r="N14" i="20"/>
  <c r="P142" i="20"/>
  <c r="N12" i="17"/>
  <c r="N10" i="17" s="1"/>
  <c r="N20" i="17"/>
  <c r="N18" i="17" s="1"/>
  <c r="N140" i="16"/>
  <c r="P140" i="16" s="1"/>
  <c r="P142" i="16"/>
  <c r="N271" i="14"/>
  <c r="N37" i="14" s="1"/>
  <c r="P273" i="14"/>
  <c r="M250" i="13"/>
  <c r="P250" i="13" s="1"/>
  <c r="P252" i="13"/>
  <c r="N20" i="16"/>
  <c r="N18" i="16" s="1"/>
  <c r="N12" i="16"/>
  <c r="N10" i="16" s="1"/>
  <c r="P102" i="13"/>
  <c r="M26" i="13"/>
  <c r="M20" i="13" s="1"/>
  <c r="L29" i="14"/>
  <c r="O31" i="14"/>
  <c r="L140" i="13"/>
  <c r="O140" i="13" s="1"/>
  <c r="P29" i="12"/>
  <c r="M28" i="12"/>
  <c r="P28" i="12" s="1"/>
  <c r="P22" i="13"/>
  <c r="M12" i="13"/>
  <c r="N20" i="10"/>
  <c r="N18" i="10" s="1"/>
  <c r="N12" i="10"/>
  <c r="N10" i="10" s="1"/>
  <c r="P252" i="12"/>
  <c r="M250" i="12"/>
  <c r="P250" i="12" s="1"/>
  <c r="M94" i="10"/>
  <c r="P94" i="10" s="1"/>
  <c r="P96" i="10"/>
  <c r="M140" i="9"/>
  <c r="P140" i="9" s="1"/>
  <c r="P142" i="9"/>
  <c r="P142" i="12"/>
  <c r="M140" i="12"/>
  <c r="P140" i="12" s="1"/>
  <c r="L30" i="13"/>
  <c r="O30" i="13" s="1"/>
  <c r="O32" i="13"/>
  <c r="O30" i="12"/>
  <c r="O26" i="10"/>
  <c r="L16" i="10"/>
  <c r="O16" i="10" s="1"/>
  <c r="M26" i="11"/>
  <c r="P26" i="9"/>
  <c r="M16" i="9"/>
  <c r="P16" i="9" s="1"/>
  <c r="N118" i="8"/>
  <c r="P120" i="8"/>
  <c r="O70" i="8"/>
  <c r="L68" i="8"/>
  <c r="L70" i="1"/>
  <c r="O70" i="1" s="1"/>
  <c r="P273" i="5"/>
  <c r="M273" i="1"/>
  <c r="P331" i="5"/>
  <c r="M329" i="5"/>
  <c r="P329" i="5" s="1"/>
  <c r="P11" i="4"/>
  <c r="M9" i="4"/>
  <c r="P331" i="2"/>
  <c r="P222" i="2"/>
  <c r="M222" i="1"/>
  <c r="M220" i="2"/>
  <c r="O126" i="1"/>
  <c r="L26" i="1"/>
  <c r="O98" i="3"/>
  <c r="L96" i="3"/>
  <c r="L98" i="1"/>
  <c r="O98" i="1" s="1"/>
  <c r="O294" i="2"/>
  <c r="L292" i="2"/>
  <c r="L294" i="1"/>
  <c r="O294" i="1" s="1"/>
  <c r="P43" i="3"/>
  <c r="N41" i="3"/>
  <c r="N43" i="1"/>
  <c r="N41" i="1" s="1"/>
  <c r="P45" i="1"/>
  <c r="N22" i="1"/>
  <c r="N222" i="1"/>
  <c r="P68" i="3"/>
  <c r="M66" i="3"/>
  <c r="P66" i="3" s="1"/>
  <c r="O19" i="21"/>
  <c r="P252" i="21"/>
  <c r="M250" i="21"/>
  <c r="P250" i="21" s="1"/>
  <c r="O31" i="21"/>
  <c r="L11" i="21"/>
  <c r="L29" i="21"/>
  <c r="O142" i="20"/>
  <c r="P55" i="20"/>
  <c r="M53" i="20"/>
  <c r="P120" i="21"/>
  <c r="M118" i="21"/>
  <c r="P118" i="21" s="1"/>
  <c r="P22" i="21"/>
  <c r="O140" i="20"/>
  <c r="L14" i="21"/>
  <c r="O14" i="21" s="1"/>
  <c r="O96" i="20"/>
  <c r="L94" i="20"/>
  <c r="O94" i="20" s="1"/>
  <c r="P273" i="19"/>
  <c r="M271" i="19"/>
  <c r="P271" i="19" s="1"/>
  <c r="O26" i="19"/>
  <c r="L16" i="19"/>
  <c r="O222" i="18"/>
  <c r="L220" i="18"/>
  <c r="P19" i="18"/>
  <c r="O19" i="18"/>
  <c r="N310" i="16"/>
  <c r="N312" i="1"/>
  <c r="L30" i="15"/>
  <c r="O30" i="15" s="1"/>
  <c r="O32" i="15"/>
  <c r="M250" i="14"/>
  <c r="P250" i="14" s="1"/>
  <c r="P252" i="14"/>
  <c r="L30" i="16"/>
  <c r="O30" i="16" s="1"/>
  <c r="O32" i="16"/>
  <c r="O98" i="15"/>
  <c r="L96" i="15"/>
  <c r="P29" i="13"/>
  <c r="M28" i="13"/>
  <c r="P28" i="13" s="1"/>
  <c r="P331" i="14"/>
  <c r="M329" i="14"/>
  <c r="P329" i="14" s="1"/>
  <c r="M329" i="12"/>
  <c r="P329" i="12" s="1"/>
  <c r="P331" i="12"/>
  <c r="M271" i="13"/>
  <c r="P271" i="13" s="1"/>
  <c r="P11" i="12"/>
  <c r="M9" i="12"/>
  <c r="N66" i="10"/>
  <c r="N37" i="10" s="1"/>
  <c r="P68" i="10"/>
  <c r="M94" i="9"/>
  <c r="P94" i="9" s="1"/>
  <c r="P96" i="9"/>
  <c r="L13" i="13"/>
  <c r="O13" i="13" s="1"/>
  <c r="P29" i="9"/>
  <c r="M28" i="9"/>
  <c r="P28" i="9" s="1"/>
  <c r="L29" i="11"/>
  <c r="O31" i="11"/>
  <c r="N12" i="11"/>
  <c r="N10" i="11" s="1"/>
  <c r="N8" i="11" s="1"/>
  <c r="N20" i="11"/>
  <c r="N18" i="11" s="1"/>
  <c r="N20" i="8"/>
  <c r="N18" i="8" s="1"/>
  <c r="N12" i="8"/>
  <c r="N10" i="8" s="1"/>
  <c r="P273" i="7"/>
  <c r="M271" i="7"/>
  <c r="P271" i="7" s="1"/>
  <c r="M329" i="6"/>
  <c r="P329" i="6" s="1"/>
  <c r="P331" i="6"/>
  <c r="O43" i="6"/>
  <c r="L41" i="6"/>
  <c r="O29" i="5"/>
  <c r="L28" i="5"/>
  <c r="O26" i="3"/>
  <c r="L16" i="3"/>
  <c r="O16" i="3" s="1"/>
  <c r="O9" i="3"/>
  <c r="O24" i="3"/>
  <c r="L14" i="3"/>
  <c r="O14" i="3" s="1"/>
  <c r="P68" i="2"/>
  <c r="M68" i="1"/>
  <c r="M66" i="2"/>
  <c r="N12" i="3"/>
  <c r="N10" i="3" s="1"/>
  <c r="N20" i="3"/>
  <c r="N18" i="3" s="1"/>
  <c r="M9" i="21"/>
  <c r="P11" i="21"/>
  <c r="P222" i="20"/>
  <c r="M220" i="20"/>
  <c r="P220" i="20" s="1"/>
  <c r="L30" i="20"/>
  <c r="O32" i="20"/>
  <c r="P19" i="19"/>
  <c r="M18" i="19"/>
  <c r="L271" i="19"/>
  <c r="O271" i="19" s="1"/>
  <c r="O273" i="19"/>
  <c r="N12" i="18"/>
  <c r="N10" i="18" s="1"/>
  <c r="N8" i="18" s="1"/>
  <c r="N20" i="18"/>
  <c r="N18" i="18" s="1"/>
  <c r="O26" i="18"/>
  <c r="L16" i="18"/>
  <c r="O16" i="18" s="1"/>
  <c r="P11" i="18"/>
  <c r="M9" i="18"/>
  <c r="L22" i="18"/>
  <c r="N250" i="15"/>
  <c r="P250" i="15" s="1"/>
  <c r="P252" i="15"/>
  <c r="P43" i="15"/>
  <c r="M41" i="15"/>
  <c r="P292" i="17"/>
  <c r="M290" i="17"/>
  <c r="P290" i="17" s="1"/>
  <c r="O31" i="15"/>
  <c r="L11" i="15"/>
  <c r="L29" i="15"/>
  <c r="M140" i="14"/>
  <c r="P140" i="14" s="1"/>
  <c r="P142" i="14"/>
  <c r="M140" i="13"/>
  <c r="P140" i="13" s="1"/>
  <c r="P142" i="13"/>
  <c r="P9" i="14"/>
  <c r="P11" i="16"/>
  <c r="M9" i="16"/>
  <c r="O23" i="11"/>
  <c r="L13" i="11"/>
  <c r="O13" i="11" s="1"/>
  <c r="O24" i="12"/>
  <c r="L14" i="12"/>
  <c r="O14" i="12" s="1"/>
  <c r="P142" i="11"/>
  <c r="M140" i="11"/>
  <c r="P140" i="11" s="1"/>
  <c r="O222" i="12"/>
  <c r="M220" i="11"/>
  <c r="P220" i="11" s="1"/>
  <c r="P331" i="9"/>
  <c r="M329" i="9"/>
  <c r="P329" i="9" s="1"/>
  <c r="P11" i="9"/>
  <c r="M9" i="9"/>
  <c r="P22" i="8"/>
  <c r="M12" i="8"/>
  <c r="L22" i="8"/>
  <c r="O43" i="9"/>
  <c r="L41" i="9"/>
  <c r="L118" i="7"/>
  <c r="O118" i="7" s="1"/>
  <c r="N16" i="7"/>
  <c r="N20" i="7"/>
  <c r="N18" i="7" s="1"/>
  <c r="L94" i="6"/>
  <c r="O94" i="6" s="1"/>
  <c r="M53" i="4"/>
  <c r="P53" i="4" s="1"/>
  <c r="P55" i="4"/>
  <c r="M118" i="5"/>
  <c r="P118" i="5" s="1"/>
  <c r="P312" i="4"/>
  <c r="M310" i="4"/>
  <c r="P310" i="4" s="1"/>
  <c r="M312" i="1"/>
  <c r="M292" i="1"/>
  <c r="P292" i="2"/>
  <c r="N94" i="3"/>
  <c r="N29" i="2"/>
  <c r="N28" i="2" s="1"/>
  <c r="N11" i="2"/>
  <c r="N9" i="2" s="1"/>
  <c r="O254" i="3"/>
  <c r="L254" i="1"/>
  <c r="O254" i="1" s="1"/>
  <c r="L252" i="3"/>
  <c r="O23" i="2"/>
  <c r="L13" i="2"/>
  <c r="O13" i="2" s="1"/>
  <c r="L122" i="1"/>
  <c r="O122" i="1" s="1"/>
  <c r="L140" i="15" l="1"/>
  <c r="O11" i="7"/>
  <c r="O252" i="19"/>
  <c r="L118" i="16"/>
  <c r="O118" i="16" s="1"/>
  <c r="L118" i="10"/>
  <c r="O118" i="10" s="1"/>
  <c r="O222" i="4"/>
  <c r="L66" i="18"/>
  <c r="O66" i="18" s="1"/>
  <c r="N37" i="19"/>
  <c r="O96" i="14"/>
  <c r="N37" i="9"/>
  <c r="O53" i="9"/>
  <c r="O312" i="15"/>
  <c r="L271" i="16"/>
  <c r="O271" i="16" s="1"/>
  <c r="L271" i="17"/>
  <c r="O271" i="17" s="1"/>
  <c r="L271" i="7"/>
  <c r="O271" i="7" s="1"/>
  <c r="O68" i="17"/>
  <c r="N8" i="3"/>
  <c r="O312" i="19"/>
  <c r="L290" i="9"/>
  <c r="O290" i="9" s="1"/>
  <c r="L329" i="14"/>
  <c r="O329" i="14" s="1"/>
  <c r="P26" i="15"/>
  <c r="O55" i="2"/>
  <c r="O292" i="7"/>
  <c r="L41" i="13"/>
  <c r="O41" i="13" s="1"/>
  <c r="L118" i="5"/>
  <c r="O118" i="5" s="1"/>
  <c r="O222" i="17"/>
  <c r="O142" i="3"/>
  <c r="O312" i="6"/>
  <c r="P96" i="15"/>
  <c r="O43" i="17"/>
  <c r="N37" i="18"/>
  <c r="O22" i="7"/>
  <c r="L140" i="19"/>
  <c r="O140" i="19" s="1"/>
  <c r="M16" i="15"/>
  <c r="P16" i="15" s="1"/>
  <c r="L290" i="14"/>
  <c r="O290" i="14" s="1"/>
  <c r="L94" i="2"/>
  <c r="O94" i="2" s="1"/>
  <c r="L290" i="5"/>
  <c r="O290" i="5" s="1"/>
  <c r="O312" i="13"/>
  <c r="L66" i="9"/>
  <c r="O66" i="9" s="1"/>
  <c r="N8" i="10"/>
  <c r="L12" i="11"/>
  <c r="O12" i="11" s="1"/>
  <c r="O252" i="21"/>
  <c r="L53" i="15"/>
  <c r="O53" i="15" s="1"/>
  <c r="L220" i="9"/>
  <c r="O220" i="9" s="1"/>
  <c r="O55" i="3"/>
  <c r="L250" i="7"/>
  <c r="O250" i="7" s="1"/>
  <c r="O273" i="14"/>
  <c r="L290" i="20"/>
  <c r="O290" i="20" s="1"/>
  <c r="O273" i="9"/>
  <c r="O142" i="21"/>
  <c r="L28" i="3"/>
  <c r="O28" i="3" s="1"/>
  <c r="O29" i="9"/>
  <c r="N8" i="4"/>
  <c r="P12" i="6"/>
  <c r="O43" i="18"/>
  <c r="N8" i="20"/>
  <c r="P292" i="1"/>
  <c r="O55" i="16"/>
  <c r="L53" i="8"/>
  <c r="O53" i="8" s="1"/>
  <c r="O292" i="11"/>
  <c r="L41" i="20"/>
  <c r="O41" i="20" s="1"/>
  <c r="L66" i="7"/>
  <c r="O66" i="7" s="1"/>
  <c r="L41" i="5"/>
  <c r="O41" i="5" s="1"/>
  <c r="L53" i="21"/>
  <c r="O53" i="21" s="1"/>
  <c r="O55" i="11"/>
  <c r="L118" i="9"/>
  <c r="O118" i="9" s="1"/>
  <c r="M20" i="16"/>
  <c r="M18" i="16" s="1"/>
  <c r="P18" i="16" s="1"/>
  <c r="O222" i="2"/>
  <c r="M10" i="4"/>
  <c r="M8" i="4" s="1"/>
  <c r="P8" i="4" s="1"/>
  <c r="M16" i="16"/>
  <c r="P16" i="16" s="1"/>
  <c r="L94" i="4"/>
  <c r="O94" i="4" s="1"/>
  <c r="O43" i="14"/>
  <c r="L118" i="13"/>
  <c r="O118" i="13" s="1"/>
  <c r="L20" i="7"/>
  <c r="O20" i="7" s="1"/>
  <c r="L250" i="13"/>
  <c r="O250" i="13" s="1"/>
  <c r="L66" i="3"/>
  <c r="O66" i="3" s="1"/>
  <c r="L250" i="12"/>
  <c r="O250" i="12" s="1"/>
  <c r="N8" i="16"/>
  <c r="L271" i="13"/>
  <c r="O271" i="13" s="1"/>
  <c r="L66" i="4"/>
  <c r="O66" i="4" s="1"/>
  <c r="L329" i="3"/>
  <c r="O329" i="3" s="1"/>
  <c r="L53" i="5"/>
  <c r="O53" i="5" s="1"/>
  <c r="L250" i="15"/>
  <c r="O250" i="15" s="1"/>
  <c r="L118" i="19"/>
  <c r="O118" i="19" s="1"/>
  <c r="O220" i="3"/>
  <c r="P55" i="1"/>
  <c r="N8" i="13"/>
  <c r="L66" i="5"/>
  <c r="O66" i="5" s="1"/>
  <c r="M20" i="8"/>
  <c r="P20" i="8" s="1"/>
  <c r="O222" i="11"/>
  <c r="L140" i="7"/>
  <c r="O140" i="7" s="1"/>
  <c r="L53" i="10"/>
  <c r="O53" i="10" s="1"/>
  <c r="O28" i="5"/>
  <c r="L250" i="16"/>
  <c r="O250" i="16" s="1"/>
  <c r="L220" i="6"/>
  <c r="O220" i="6" s="1"/>
  <c r="O14" i="5"/>
  <c r="L250" i="8"/>
  <c r="O250" i="8" s="1"/>
  <c r="N11" i="1"/>
  <c r="N9" i="1" s="1"/>
  <c r="L290" i="13"/>
  <c r="O290" i="13" s="1"/>
  <c r="P20" i="19"/>
  <c r="O14" i="20"/>
  <c r="P26" i="8"/>
  <c r="O331" i="13"/>
  <c r="L66" i="15"/>
  <c r="O66" i="15" s="1"/>
  <c r="L290" i="17"/>
  <c r="O290" i="17" s="1"/>
  <c r="N8" i="14"/>
  <c r="O22" i="11"/>
  <c r="N8" i="9"/>
  <c r="L20" i="15"/>
  <c r="O20" i="15" s="1"/>
  <c r="L329" i="9"/>
  <c r="O329" i="9" s="1"/>
  <c r="L12" i="15"/>
  <c r="L10" i="15" s="1"/>
  <c r="O10" i="15" s="1"/>
  <c r="L310" i="4"/>
  <c r="O310" i="4" s="1"/>
  <c r="L271" i="8"/>
  <c r="O271" i="8" s="1"/>
  <c r="O43" i="11"/>
  <c r="L329" i="11"/>
  <c r="O329" i="11" s="1"/>
  <c r="N10" i="5"/>
  <c r="N8" i="5" s="1"/>
  <c r="L329" i="10"/>
  <c r="O329" i="10" s="1"/>
  <c r="O96" i="10"/>
  <c r="L20" i="4"/>
  <c r="O20" i="4" s="1"/>
  <c r="L290" i="15"/>
  <c r="O290" i="15" s="1"/>
  <c r="N8" i="6"/>
  <c r="L329" i="8"/>
  <c r="O329" i="8" s="1"/>
  <c r="M41" i="17"/>
  <c r="P41" i="17" s="1"/>
  <c r="O142" i="9"/>
  <c r="O55" i="14"/>
  <c r="P12" i="7"/>
  <c r="O292" i="6"/>
  <c r="L271" i="15"/>
  <c r="O271" i="15" s="1"/>
  <c r="L250" i="10"/>
  <c r="O250" i="10" s="1"/>
  <c r="P140" i="4"/>
  <c r="L329" i="5"/>
  <c r="O329" i="5" s="1"/>
  <c r="L12" i="13"/>
  <c r="L10" i="13" s="1"/>
  <c r="O10" i="13" s="1"/>
  <c r="O292" i="8"/>
  <c r="O120" i="2"/>
  <c r="O11" i="4"/>
  <c r="O96" i="11"/>
  <c r="L20" i="13"/>
  <c r="L18" i="13" s="1"/>
  <c r="O18" i="13" s="1"/>
  <c r="L20" i="12"/>
  <c r="O20" i="12" s="1"/>
  <c r="L271" i="10"/>
  <c r="O271" i="10" s="1"/>
  <c r="P331" i="7"/>
  <c r="P140" i="18"/>
  <c r="L12" i="12"/>
  <c r="O12" i="12" s="1"/>
  <c r="P331" i="17"/>
  <c r="P120" i="1"/>
  <c r="O55" i="9"/>
  <c r="L140" i="8"/>
  <c r="O140" i="8" s="1"/>
  <c r="O222" i="5"/>
  <c r="O140" i="18"/>
  <c r="L310" i="17"/>
  <c r="O310" i="17" s="1"/>
  <c r="O28" i="18"/>
  <c r="O68" i="2"/>
  <c r="L118" i="6"/>
  <c r="O118" i="6" s="1"/>
  <c r="O68" i="10"/>
  <c r="N37" i="13"/>
  <c r="L310" i="10"/>
  <c r="O310" i="10" s="1"/>
  <c r="O292" i="4"/>
  <c r="L290" i="4"/>
  <c r="O290" i="4" s="1"/>
  <c r="L118" i="3"/>
  <c r="O118" i="3" s="1"/>
  <c r="L41" i="12"/>
  <c r="O41" i="12" s="1"/>
  <c r="L94" i="21"/>
  <c r="O94" i="21" s="1"/>
  <c r="O312" i="18"/>
  <c r="L28" i="7"/>
  <c r="O28" i="7" s="1"/>
  <c r="L14" i="1"/>
  <c r="L66" i="12"/>
  <c r="O66" i="12" s="1"/>
  <c r="O331" i="19"/>
  <c r="L66" i="14"/>
  <c r="O66" i="14" s="1"/>
  <c r="O222" i="13"/>
  <c r="O142" i="18"/>
  <c r="O142" i="2"/>
  <c r="O96" i="5"/>
  <c r="L271" i="4"/>
  <c r="O271" i="4" s="1"/>
  <c r="L9" i="16"/>
  <c r="O9" i="16" s="1"/>
  <c r="P271" i="9"/>
  <c r="O220" i="18"/>
  <c r="N8" i="15"/>
  <c r="N37" i="4"/>
  <c r="O24" i="1"/>
  <c r="O312" i="2"/>
  <c r="L220" i="8"/>
  <c r="O220" i="8" s="1"/>
  <c r="O140" i="15"/>
  <c r="L310" i="8"/>
  <c r="O310" i="8" s="1"/>
  <c r="O312" i="8"/>
  <c r="L273" i="1"/>
  <c r="O273" i="1" s="1"/>
  <c r="L66" i="19"/>
  <c r="O66" i="19" s="1"/>
  <c r="P271" i="6"/>
  <c r="L66" i="6"/>
  <c r="O66" i="6" s="1"/>
  <c r="L20" i="16"/>
  <c r="O20" i="16" s="1"/>
  <c r="L20" i="17"/>
  <c r="O20" i="17" s="1"/>
  <c r="P26" i="17"/>
  <c r="P41" i="19"/>
  <c r="L12" i="16"/>
  <c r="O12" i="16" s="1"/>
  <c r="L12" i="17"/>
  <c r="O12" i="17" s="1"/>
  <c r="N28" i="1"/>
  <c r="M41" i="16"/>
  <c r="P41" i="16" s="1"/>
  <c r="L53" i="12"/>
  <c r="O53" i="12" s="1"/>
  <c r="M329" i="11"/>
  <c r="P329" i="11" s="1"/>
  <c r="L250" i="18"/>
  <c r="O250" i="18" s="1"/>
  <c r="L68" i="1"/>
  <c r="O68" i="1" s="1"/>
  <c r="O14" i="18"/>
  <c r="L66" i="16"/>
  <c r="O66" i="16" s="1"/>
  <c r="O312" i="7"/>
  <c r="L310" i="7"/>
  <c r="O310" i="7" s="1"/>
  <c r="P18" i="19"/>
  <c r="L12" i="4"/>
  <c r="L10" i="4" s="1"/>
  <c r="L12" i="2"/>
  <c r="L10" i="2" s="1"/>
  <c r="O22" i="14"/>
  <c r="N8" i="21"/>
  <c r="P271" i="4"/>
  <c r="O43" i="3"/>
  <c r="L271" i="3"/>
  <c r="O271" i="3" s="1"/>
  <c r="O29" i="4"/>
  <c r="L28" i="4"/>
  <c r="O28" i="4" s="1"/>
  <c r="L94" i="18"/>
  <c r="O94" i="18" s="1"/>
  <c r="L12" i="20"/>
  <c r="O12" i="20" s="1"/>
  <c r="L66" i="20"/>
  <c r="O66" i="20" s="1"/>
  <c r="P273" i="1"/>
  <c r="P220" i="12"/>
  <c r="L12" i="14"/>
  <c r="L10" i="14" s="1"/>
  <c r="O10" i="14" s="1"/>
  <c r="L118" i="17"/>
  <c r="O118" i="17" s="1"/>
  <c r="N220" i="1"/>
  <c r="L329" i="20"/>
  <c r="O329" i="20" s="1"/>
  <c r="L9" i="18"/>
  <c r="O9" i="18" s="1"/>
  <c r="L20" i="6"/>
  <c r="L18" i="6" s="1"/>
  <c r="O18" i="6" s="1"/>
  <c r="L12" i="6"/>
  <c r="O12" i="6" s="1"/>
  <c r="L118" i="15"/>
  <c r="O118" i="15" s="1"/>
  <c r="N329" i="1"/>
  <c r="O43" i="15"/>
  <c r="N37" i="12"/>
  <c r="L66" i="21"/>
  <c r="O66" i="21" s="1"/>
  <c r="L310" i="14"/>
  <c r="O310" i="14" s="1"/>
  <c r="M16" i="17"/>
  <c r="P16" i="17" s="1"/>
  <c r="N8" i="8"/>
  <c r="O55" i="4"/>
  <c r="L20" i="20"/>
  <c r="O20" i="20" s="1"/>
  <c r="P12" i="20"/>
  <c r="L290" i="12"/>
  <c r="O290" i="12" s="1"/>
  <c r="L140" i="17"/>
  <c r="O140" i="17" s="1"/>
  <c r="O140" i="2"/>
  <c r="O252" i="5"/>
  <c r="L250" i="11"/>
  <c r="O250" i="11" s="1"/>
  <c r="L312" i="1"/>
  <c r="O312" i="1" s="1"/>
  <c r="O22" i="2"/>
  <c r="O11" i="2"/>
  <c r="L9" i="2"/>
  <c r="O9" i="2" s="1"/>
  <c r="P12" i="4"/>
  <c r="O28" i="9"/>
  <c r="L310" i="20"/>
  <c r="O310" i="20" s="1"/>
  <c r="P68" i="1"/>
  <c r="O310" i="2"/>
  <c r="L20" i="5"/>
  <c r="O20" i="5" s="1"/>
  <c r="O252" i="6"/>
  <c r="L250" i="6"/>
  <c r="O250" i="6" s="1"/>
  <c r="O252" i="17"/>
  <c r="L250" i="17"/>
  <c r="O250" i="17" s="1"/>
  <c r="O222" i="10"/>
  <c r="L12" i="5"/>
  <c r="O12" i="5" s="1"/>
  <c r="L271" i="6"/>
  <c r="O271" i="6" s="1"/>
  <c r="O20" i="14"/>
  <c r="N310" i="1"/>
  <c r="N8" i="12"/>
  <c r="M331" i="1"/>
  <c r="P331" i="1" s="1"/>
  <c r="L28" i="12"/>
  <c r="O28" i="12" s="1"/>
  <c r="P12" i="19"/>
  <c r="O140" i="3"/>
  <c r="O331" i="16"/>
  <c r="O142" i="12"/>
  <c r="L96" i="1"/>
  <c r="O96" i="1" s="1"/>
  <c r="L28" i="6"/>
  <c r="O28" i="6" s="1"/>
  <c r="L20" i="3"/>
  <c r="O20" i="3" s="1"/>
  <c r="L20" i="9"/>
  <c r="O20" i="9" s="1"/>
  <c r="O142" i="11"/>
  <c r="L140" i="11"/>
  <c r="O140" i="11" s="1"/>
  <c r="L9" i="5"/>
  <c r="O9" i="5" s="1"/>
  <c r="O11" i="5"/>
  <c r="L12" i="3"/>
  <c r="L10" i="3" s="1"/>
  <c r="L12" i="9"/>
  <c r="O12" i="9" s="1"/>
  <c r="N37" i="15"/>
  <c r="O142" i="6"/>
  <c r="L140" i="6"/>
  <c r="O140" i="6" s="1"/>
  <c r="N8" i="2"/>
  <c r="O68" i="13"/>
  <c r="L66" i="13"/>
  <c r="O66" i="13" s="1"/>
  <c r="N66" i="1"/>
  <c r="O31" i="1"/>
  <c r="L29" i="1"/>
  <c r="O29" i="1" s="1"/>
  <c r="M94" i="21"/>
  <c r="P94" i="21" s="1"/>
  <c r="L94" i="16"/>
  <c r="O94" i="16" s="1"/>
  <c r="O96" i="16"/>
  <c r="N28" i="14"/>
  <c r="O55" i="13"/>
  <c r="L53" i="13"/>
  <c r="O53" i="13" s="1"/>
  <c r="O16" i="19"/>
  <c r="P142" i="1"/>
  <c r="O292" i="16"/>
  <c r="L290" i="16"/>
  <c r="O290" i="16" s="1"/>
  <c r="O271" i="9"/>
  <c r="O11" i="20"/>
  <c r="L9" i="20"/>
  <c r="O9" i="20" s="1"/>
  <c r="O120" i="4"/>
  <c r="L118" i="4"/>
  <c r="O118" i="4" s="1"/>
  <c r="O11" i="6"/>
  <c r="L9" i="6"/>
  <c r="O9" i="6" s="1"/>
  <c r="O142" i="10"/>
  <c r="L140" i="10"/>
  <c r="O140" i="10" s="1"/>
  <c r="L13" i="1"/>
  <c r="O13" i="1" s="1"/>
  <c r="P20" i="5"/>
  <c r="N18" i="5"/>
  <c r="P18" i="5" s="1"/>
  <c r="P96" i="17"/>
  <c r="M94" i="17"/>
  <c r="P94" i="17" s="1"/>
  <c r="N37" i="8"/>
  <c r="P12" i="10"/>
  <c r="L41" i="8"/>
  <c r="O41" i="8" s="1"/>
  <c r="O43" i="8"/>
  <c r="L9" i="19"/>
  <c r="O9" i="19" s="1"/>
  <c r="O11" i="19"/>
  <c r="O29" i="10"/>
  <c r="L28" i="10"/>
  <c r="O28" i="10" s="1"/>
  <c r="N271" i="1"/>
  <c r="P12" i="21"/>
  <c r="P271" i="8"/>
  <c r="N37" i="2"/>
  <c r="P96" i="7"/>
  <c r="M94" i="7"/>
  <c r="P94" i="7" s="1"/>
  <c r="O14" i="9"/>
  <c r="P329" i="15"/>
  <c r="M20" i="6"/>
  <c r="P26" i="6"/>
  <c r="M16" i="6"/>
  <c r="O120" i="20"/>
  <c r="L118" i="20"/>
  <c r="O118" i="20" s="1"/>
  <c r="P20" i="4"/>
  <c r="N18" i="4"/>
  <c r="P18" i="4" s="1"/>
  <c r="P271" i="14"/>
  <c r="O96" i="13"/>
  <c r="L94" i="13"/>
  <c r="O94" i="13" s="1"/>
  <c r="O34" i="1"/>
  <c r="N14" i="1"/>
  <c r="O32" i="1"/>
  <c r="L30" i="1"/>
  <c r="O273" i="5"/>
  <c r="L271" i="5"/>
  <c r="N10" i="19"/>
  <c r="N8" i="19" s="1"/>
  <c r="O292" i="21"/>
  <c r="L290" i="21"/>
  <c r="O290" i="21" s="1"/>
  <c r="O96" i="9"/>
  <c r="L94" i="9"/>
  <c r="O94" i="9" s="1"/>
  <c r="P20" i="14"/>
  <c r="M18" i="14"/>
  <c r="P18" i="14" s="1"/>
  <c r="P20" i="18"/>
  <c r="M18" i="18"/>
  <c r="P18" i="18" s="1"/>
  <c r="P20" i="2"/>
  <c r="M18" i="2"/>
  <c r="P18" i="2" s="1"/>
  <c r="P9" i="1"/>
  <c r="P20" i="15"/>
  <c r="M18" i="15"/>
  <c r="P18" i="15" s="1"/>
  <c r="L55" i="1"/>
  <c r="O57" i="1"/>
  <c r="P9" i="16"/>
  <c r="P66" i="2"/>
  <c r="M66" i="1"/>
  <c r="M310" i="1"/>
  <c r="P94" i="15"/>
  <c r="L28" i="21"/>
  <c r="O28" i="21" s="1"/>
  <c r="O29" i="21"/>
  <c r="N20" i="1"/>
  <c r="N18" i="1" s="1"/>
  <c r="N12" i="1"/>
  <c r="N10" i="1" s="1"/>
  <c r="L292" i="1"/>
  <c r="O292" i="1" s="1"/>
  <c r="O292" i="2"/>
  <c r="L290" i="2"/>
  <c r="P9" i="4"/>
  <c r="P20" i="13"/>
  <c r="M18" i="13"/>
  <c r="P18" i="13" s="1"/>
  <c r="L28" i="16"/>
  <c r="O28" i="16" s="1"/>
  <c r="P12" i="2"/>
  <c r="P9" i="5"/>
  <c r="M8" i="5"/>
  <c r="P26" i="10"/>
  <c r="M16" i="10"/>
  <c r="M20" i="10"/>
  <c r="P18" i="17"/>
  <c r="P12" i="15"/>
  <c r="M20" i="7"/>
  <c r="M16" i="7"/>
  <c r="P26" i="7"/>
  <c r="P53" i="3"/>
  <c r="M37" i="8"/>
  <c r="P12" i="17"/>
  <c r="O11" i="1"/>
  <c r="L9" i="1"/>
  <c r="P20" i="3"/>
  <c r="M18" i="3"/>
  <c r="P18" i="3" s="1"/>
  <c r="O41" i="7"/>
  <c r="O66" i="10"/>
  <c r="O55" i="17"/>
  <c r="L53" i="17"/>
  <c r="O53" i="17" s="1"/>
  <c r="L18" i="2"/>
  <c r="O18" i="2" s="1"/>
  <c r="O20" i="2"/>
  <c r="L20" i="18"/>
  <c r="L12" i="18"/>
  <c r="O22" i="18"/>
  <c r="O222" i="21"/>
  <c r="L220" i="21"/>
  <c r="O220" i="21" s="1"/>
  <c r="O120" i="14"/>
  <c r="L118" i="14"/>
  <c r="O30" i="19"/>
  <c r="L28" i="19"/>
  <c r="O28" i="19" s="1"/>
  <c r="O12" i="7"/>
  <c r="L10" i="7"/>
  <c r="L8" i="7" s="1"/>
  <c r="O41" i="9"/>
  <c r="P118" i="8"/>
  <c r="P9" i="12"/>
  <c r="L9" i="21"/>
  <c r="O11" i="21"/>
  <c r="P26" i="11"/>
  <c r="M16" i="11"/>
  <c r="P16" i="11" s="1"/>
  <c r="P12" i="13"/>
  <c r="M96" i="1"/>
  <c r="P96" i="1" s="1"/>
  <c r="P96" i="3"/>
  <c r="M94" i="3"/>
  <c r="M37" i="3" s="1"/>
  <c r="M16" i="21"/>
  <c r="P26" i="21"/>
  <c r="M20" i="21"/>
  <c r="M140" i="1"/>
  <c r="P220" i="8"/>
  <c r="P41" i="13"/>
  <c r="M37" i="13"/>
  <c r="N8" i="17"/>
  <c r="O18" i="11"/>
  <c r="L222" i="1"/>
  <c r="O222" i="1" s="1"/>
  <c r="L118" i="8"/>
  <c r="O118" i="8" s="1"/>
  <c r="O120" i="8"/>
  <c r="P26" i="14"/>
  <c r="M16" i="14"/>
  <c r="P16" i="14" s="1"/>
  <c r="P26" i="20"/>
  <c r="M16" i="20"/>
  <c r="M20" i="20"/>
  <c r="M10" i="3"/>
  <c r="P12" i="3"/>
  <c r="P331" i="10"/>
  <c r="M329" i="10"/>
  <c r="P329" i="10" s="1"/>
  <c r="O29" i="11"/>
  <c r="L28" i="11"/>
  <c r="O28" i="11" s="1"/>
  <c r="O30" i="2"/>
  <c r="L28" i="2"/>
  <c r="O28" i="2" s="1"/>
  <c r="O29" i="13"/>
  <c r="L28" i="13"/>
  <c r="O28" i="13" s="1"/>
  <c r="O19" i="1"/>
  <c r="O29" i="15"/>
  <c r="L28" i="15"/>
  <c r="O28" i="15" s="1"/>
  <c r="P9" i="18"/>
  <c r="O41" i="6"/>
  <c r="M37" i="9"/>
  <c r="P37" i="9" s="1"/>
  <c r="M8" i="19"/>
  <c r="O29" i="14"/>
  <c r="L28" i="14"/>
  <c r="P26" i="13"/>
  <c r="M16" i="13"/>
  <c r="P16" i="13" s="1"/>
  <c r="N250" i="1"/>
  <c r="P41" i="4"/>
  <c r="M37" i="4"/>
  <c r="O9" i="12"/>
  <c r="O142" i="14"/>
  <c r="L140" i="14"/>
  <c r="O140" i="14" s="1"/>
  <c r="O11" i="17"/>
  <c r="L9" i="17"/>
  <c r="O96" i="19"/>
  <c r="L94" i="19"/>
  <c r="O94" i="19" s="1"/>
  <c r="P9" i="15"/>
  <c r="O9" i="10"/>
  <c r="P20" i="17"/>
  <c r="P331" i="20"/>
  <c r="M329" i="20"/>
  <c r="P329" i="20" s="1"/>
  <c r="O250" i="2"/>
  <c r="M271" i="1"/>
  <c r="P41" i="6"/>
  <c r="M37" i="6"/>
  <c r="P37" i="6" s="1"/>
  <c r="P252" i="1"/>
  <c r="P12" i="18"/>
  <c r="O16" i="7"/>
  <c r="N10" i="7"/>
  <c r="N8" i="7" s="1"/>
  <c r="O30" i="20"/>
  <c r="L28" i="20"/>
  <c r="O28" i="20" s="1"/>
  <c r="N118" i="1"/>
  <c r="O9" i="7"/>
  <c r="L20" i="10"/>
  <c r="O22" i="10"/>
  <c r="L12" i="10"/>
  <c r="P43" i="7"/>
  <c r="M41" i="7"/>
  <c r="N94" i="1"/>
  <c r="L20" i="8"/>
  <c r="O22" i="8"/>
  <c r="L12" i="8"/>
  <c r="L9" i="15"/>
  <c r="O11" i="15"/>
  <c r="P9" i="21"/>
  <c r="N37" i="3"/>
  <c r="P41" i="3"/>
  <c r="O96" i="3"/>
  <c r="L94" i="3"/>
  <c r="O94" i="3" s="1"/>
  <c r="P220" i="2"/>
  <c r="M220" i="1"/>
  <c r="L66" i="8"/>
  <c r="O68" i="8"/>
  <c r="N37" i="16"/>
  <c r="O29" i="17"/>
  <c r="L28" i="17"/>
  <c r="O28" i="17" s="1"/>
  <c r="O22" i="21"/>
  <c r="L12" i="21"/>
  <c r="L20" i="21"/>
  <c r="M37" i="19"/>
  <c r="O331" i="2"/>
  <c r="L331" i="1"/>
  <c r="O331" i="1" s="1"/>
  <c r="L329" i="2"/>
  <c r="O29" i="8"/>
  <c r="L28" i="8"/>
  <c r="O28" i="8" s="1"/>
  <c r="M20" i="11"/>
  <c r="P22" i="1"/>
  <c r="M12" i="1"/>
  <c r="P43" i="14"/>
  <c r="M41" i="14"/>
  <c r="O9" i="9"/>
  <c r="O142" i="16"/>
  <c r="L140" i="16"/>
  <c r="O140" i="16" s="1"/>
  <c r="O41" i="17"/>
  <c r="M10" i="8"/>
  <c r="P12" i="8"/>
  <c r="P41" i="15"/>
  <c r="M37" i="15"/>
  <c r="P9" i="17"/>
  <c r="P312" i="1"/>
  <c r="P222" i="1"/>
  <c r="P66" i="10"/>
  <c r="P20" i="9"/>
  <c r="M18" i="9"/>
  <c r="P18" i="9" s="1"/>
  <c r="O45" i="1"/>
  <c r="L22" i="1"/>
  <c r="L43" i="1"/>
  <c r="P43" i="18"/>
  <c r="M41" i="18"/>
  <c r="O43" i="21"/>
  <c r="L41" i="21"/>
  <c r="O11" i="8"/>
  <c r="L9" i="8"/>
  <c r="P12" i="11"/>
  <c r="L18" i="14"/>
  <c r="O18" i="14" s="1"/>
  <c r="O9" i="11"/>
  <c r="P12" i="16"/>
  <c r="P9" i="7"/>
  <c r="P9" i="6"/>
  <c r="O292" i="10"/>
  <c r="L290" i="10"/>
  <c r="O290" i="10" s="1"/>
  <c r="O22" i="19"/>
  <c r="L12" i="19"/>
  <c r="L20" i="19"/>
  <c r="P9" i="20"/>
  <c r="O252" i="3"/>
  <c r="L250" i="3"/>
  <c r="L252" i="1"/>
  <c r="O252" i="1" s="1"/>
  <c r="O66" i="2"/>
  <c r="O9" i="14"/>
  <c r="P9" i="9"/>
  <c r="O41" i="18"/>
  <c r="M250" i="1"/>
  <c r="O96" i="15"/>
  <c r="L94" i="15"/>
  <c r="P53" i="20"/>
  <c r="L16" i="1"/>
  <c r="O16" i="1" s="1"/>
  <c r="O26" i="1"/>
  <c r="O41" i="3"/>
  <c r="M10" i="9"/>
  <c r="P10" i="9" s="1"/>
  <c r="P12" i="9"/>
  <c r="O43" i="10"/>
  <c r="L41" i="10"/>
  <c r="M16" i="18"/>
  <c r="P16" i="18" s="1"/>
  <c r="P26" i="18"/>
  <c r="P41" i="5"/>
  <c r="M37" i="5"/>
  <c r="P37" i="5" s="1"/>
  <c r="P20" i="12"/>
  <c r="M18" i="12"/>
  <c r="P18" i="12" s="1"/>
  <c r="O20" i="11"/>
  <c r="O271" i="14"/>
  <c r="O41" i="2"/>
  <c r="P26" i="2"/>
  <c r="M16" i="2"/>
  <c r="P16" i="2" s="1"/>
  <c r="L120" i="1"/>
  <c r="O120" i="1" s="1"/>
  <c r="O43" i="19"/>
  <c r="L41" i="19"/>
  <c r="M290" i="1"/>
  <c r="P290" i="1" s="1"/>
  <c r="P41" i="2"/>
  <c r="M37" i="2"/>
  <c r="M10" i="12"/>
  <c r="P10" i="12" s="1"/>
  <c r="P12" i="12"/>
  <c r="O292" i="18"/>
  <c r="L290" i="18"/>
  <c r="O290" i="18" s="1"/>
  <c r="L142" i="1"/>
  <c r="O142" i="1" s="1"/>
  <c r="M118" i="1"/>
  <c r="M26" i="1"/>
  <c r="M20" i="1" s="1"/>
  <c r="P49" i="1"/>
  <c r="M43" i="1"/>
  <c r="M37" i="12"/>
  <c r="L9" i="13"/>
  <c r="O11" i="13"/>
  <c r="N140" i="1"/>
  <c r="P12" i="14"/>
  <c r="O96" i="17"/>
  <c r="L94" i="17"/>
  <c r="O94" i="17" s="1"/>
  <c r="P37" i="19" l="1"/>
  <c r="P10" i="4"/>
  <c r="L18" i="15"/>
  <c r="O18" i="15" s="1"/>
  <c r="P37" i="8"/>
  <c r="O12" i="13"/>
  <c r="M10" i="15"/>
  <c r="P10" i="15" s="1"/>
  <c r="L10" i="11"/>
  <c r="O10" i="11" s="1"/>
  <c r="O12" i="14"/>
  <c r="L18" i="20"/>
  <c r="O18" i="20" s="1"/>
  <c r="O28" i="14"/>
  <c r="L18" i="4"/>
  <c r="O18" i="4" s="1"/>
  <c r="L10" i="12"/>
  <c r="O10" i="12" s="1"/>
  <c r="M10" i="16"/>
  <c r="P10" i="16" s="1"/>
  <c r="O12" i="15"/>
  <c r="L10" i="16"/>
  <c r="O10" i="16" s="1"/>
  <c r="L10" i="5"/>
  <c r="L8" i="5" s="1"/>
  <c r="O8" i="5" s="1"/>
  <c r="P20" i="16"/>
  <c r="L18" i="12"/>
  <c r="O18" i="12" s="1"/>
  <c r="P271" i="1"/>
  <c r="L18" i="7"/>
  <c r="O18" i="7" s="1"/>
  <c r="O20" i="13"/>
  <c r="L18" i="9"/>
  <c r="O18" i="9" s="1"/>
  <c r="L10" i="17"/>
  <c r="O10" i="17" s="1"/>
  <c r="M37" i="21"/>
  <c r="P37" i="21" s="1"/>
  <c r="N8" i="1"/>
  <c r="L37" i="5"/>
  <c r="O37" i="5" s="1"/>
  <c r="P37" i="4"/>
  <c r="M18" i="8"/>
  <c r="P18" i="8" s="1"/>
  <c r="O20" i="6"/>
  <c r="L37" i="2"/>
  <c r="O37" i="2" s="1"/>
  <c r="P8" i="5"/>
  <c r="P10" i="19"/>
  <c r="O14" i="1"/>
  <c r="M37" i="16"/>
  <c r="P37" i="16" s="1"/>
  <c r="L37" i="7"/>
  <c r="O37" i="7" s="1"/>
  <c r="P10" i="5"/>
  <c r="M37" i="11"/>
  <c r="P37" i="11" s="1"/>
  <c r="P37" i="12"/>
  <c r="P37" i="13"/>
  <c r="L10" i="20"/>
  <c r="O10" i="20" s="1"/>
  <c r="M10" i="11"/>
  <c r="P10" i="11" s="1"/>
  <c r="L37" i="6"/>
  <c r="O37" i="6" s="1"/>
  <c r="L37" i="12"/>
  <c r="O37" i="12" s="1"/>
  <c r="O12" i="4"/>
  <c r="P310" i="1"/>
  <c r="L18" i="17"/>
  <c r="O18" i="17" s="1"/>
  <c r="P220" i="1"/>
  <c r="L220" i="1"/>
  <c r="O220" i="1" s="1"/>
  <c r="L37" i="3"/>
  <c r="O37" i="3" s="1"/>
  <c r="L18" i="16"/>
  <c r="O18" i="16" s="1"/>
  <c r="M10" i="14"/>
  <c r="M8" i="14" s="1"/>
  <c r="P8" i="14" s="1"/>
  <c r="L10" i="6"/>
  <c r="L8" i="6" s="1"/>
  <c r="O8" i="6" s="1"/>
  <c r="L310" i="1"/>
  <c r="O310" i="1" s="1"/>
  <c r="M10" i="17"/>
  <c r="P10" i="17" s="1"/>
  <c r="P37" i="15"/>
  <c r="L18" i="3"/>
  <c r="O18" i="3" s="1"/>
  <c r="M37" i="17"/>
  <c r="P37" i="17" s="1"/>
  <c r="O12" i="2"/>
  <c r="M37" i="10"/>
  <c r="P37" i="10" s="1"/>
  <c r="L18" i="5"/>
  <c r="O18" i="5" s="1"/>
  <c r="L37" i="11"/>
  <c r="O37" i="11" s="1"/>
  <c r="L10" i="9"/>
  <c r="O10" i="9" s="1"/>
  <c r="L37" i="13"/>
  <c r="O37" i="13" s="1"/>
  <c r="O12" i="3"/>
  <c r="L37" i="9"/>
  <c r="O37" i="9" s="1"/>
  <c r="P66" i="1"/>
  <c r="P37" i="2"/>
  <c r="L37" i="20"/>
  <c r="O37" i="20" s="1"/>
  <c r="L8" i="14"/>
  <c r="O8" i="14" s="1"/>
  <c r="P118" i="1"/>
  <c r="L66" i="1"/>
  <c r="O66" i="1" s="1"/>
  <c r="L37" i="4"/>
  <c r="O37" i="4" s="1"/>
  <c r="M37" i="20"/>
  <c r="P37" i="20" s="1"/>
  <c r="O8" i="7"/>
  <c r="P37" i="3"/>
  <c r="O10" i="7"/>
  <c r="O30" i="1"/>
  <c r="L28" i="1"/>
  <c r="O28" i="1" s="1"/>
  <c r="M18" i="6"/>
  <c r="P18" i="6" s="1"/>
  <c r="P20" i="6"/>
  <c r="N37" i="1"/>
  <c r="L37" i="18"/>
  <c r="O37" i="18" s="1"/>
  <c r="L37" i="16"/>
  <c r="O37" i="16" s="1"/>
  <c r="P8" i="19"/>
  <c r="O271" i="5"/>
  <c r="L271" i="1"/>
  <c r="O271" i="1" s="1"/>
  <c r="M10" i="6"/>
  <c r="P16" i="6"/>
  <c r="P20" i="1"/>
  <c r="M18" i="1"/>
  <c r="P18" i="1" s="1"/>
  <c r="P43" i="1"/>
  <c r="M41" i="1"/>
  <c r="P41" i="14"/>
  <c r="M37" i="14"/>
  <c r="P37" i="14" s="1"/>
  <c r="O20" i="19"/>
  <c r="L18" i="19"/>
  <c r="O18" i="19" s="1"/>
  <c r="P41" i="18"/>
  <c r="M37" i="18"/>
  <c r="P37" i="18" s="1"/>
  <c r="P20" i="11"/>
  <c r="M18" i="11"/>
  <c r="P18" i="11" s="1"/>
  <c r="L10" i="21"/>
  <c r="O10" i="21" s="1"/>
  <c r="O12" i="21"/>
  <c r="P16" i="20"/>
  <c r="M10" i="20"/>
  <c r="P140" i="1"/>
  <c r="M10" i="13"/>
  <c r="O12" i="18"/>
  <c r="L10" i="18"/>
  <c r="P20" i="7"/>
  <c r="M18" i="7"/>
  <c r="P18" i="7" s="1"/>
  <c r="L290" i="1"/>
  <c r="O290" i="1" s="1"/>
  <c r="O290" i="2"/>
  <c r="O55" i="1"/>
  <c r="L53" i="1"/>
  <c r="O53" i="1" s="1"/>
  <c r="L10" i="19"/>
  <c r="O12" i="19"/>
  <c r="L37" i="17"/>
  <c r="O37" i="17" s="1"/>
  <c r="P41" i="7"/>
  <c r="M37" i="7"/>
  <c r="P37" i="7" s="1"/>
  <c r="P20" i="21"/>
  <c r="M18" i="21"/>
  <c r="P18" i="21" s="1"/>
  <c r="O20" i="18"/>
  <c r="L18" i="18"/>
  <c r="O18" i="18" s="1"/>
  <c r="O10" i="3"/>
  <c r="L8" i="3"/>
  <c r="O8" i="3" s="1"/>
  <c r="O20" i="21"/>
  <c r="L18" i="21"/>
  <c r="O18" i="21" s="1"/>
  <c r="O9" i="13"/>
  <c r="L8" i="13"/>
  <c r="O8" i="13" s="1"/>
  <c r="O94" i="15"/>
  <c r="L37" i="15"/>
  <c r="O37" i="15" s="1"/>
  <c r="M8" i="9"/>
  <c r="P8" i="9" s="1"/>
  <c r="O9" i="8"/>
  <c r="O43" i="1"/>
  <c r="L41" i="1"/>
  <c r="O9" i="15"/>
  <c r="L8" i="15"/>
  <c r="O8" i="15" s="1"/>
  <c r="M10" i="18"/>
  <c r="M329" i="1"/>
  <c r="P329" i="1" s="1"/>
  <c r="L118" i="1"/>
  <c r="O118" i="1" s="1"/>
  <c r="M10" i="2"/>
  <c r="O9" i="17"/>
  <c r="P20" i="20"/>
  <c r="M18" i="20"/>
  <c r="P18" i="20" s="1"/>
  <c r="L12" i="1"/>
  <c r="L20" i="1"/>
  <c r="O22" i="1"/>
  <c r="P12" i="1"/>
  <c r="L329" i="1"/>
  <c r="O329" i="1" s="1"/>
  <c r="O329" i="2"/>
  <c r="L10" i="10"/>
  <c r="O12" i="10"/>
  <c r="P16" i="21"/>
  <c r="M10" i="21"/>
  <c r="O118" i="14"/>
  <c r="L37" i="14"/>
  <c r="O37" i="14" s="1"/>
  <c r="O41" i="19"/>
  <c r="L37" i="19"/>
  <c r="O37" i="19" s="1"/>
  <c r="O10" i="2"/>
  <c r="L8" i="2"/>
  <c r="O8" i="2" s="1"/>
  <c r="O250" i="3"/>
  <c r="L250" i="1"/>
  <c r="O250" i="1" s="1"/>
  <c r="L140" i="1"/>
  <c r="O140" i="1" s="1"/>
  <c r="P94" i="3"/>
  <c r="M94" i="1"/>
  <c r="P94" i="1" s="1"/>
  <c r="O9" i="21"/>
  <c r="P20" i="10"/>
  <c r="M18" i="10"/>
  <c r="P18" i="10" s="1"/>
  <c r="P16" i="7"/>
  <c r="M10" i="7"/>
  <c r="L37" i="21"/>
  <c r="O37" i="21" s="1"/>
  <c r="O41" i="21"/>
  <c r="L10" i="8"/>
  <c r="O10" i="8" s="1"/>
  <c r="O12" i="8"/>
  <c r="O20" i="10"/>
  <c r="L18" i="10"/>
  <c r="O18" i="10" s="1"/>
  <c r="O9" i="1"/>
  <c r="P16" i="10"/>
  <c r="M10" i="10"/>
  <c r="O41" i="10"/>
  <c r="L37" i="10"/>
  <c r="O37" i="10" s="1"/>
  <c r="O20" i="8"/>
  <c r="L18" i="8"/>
  <c r="O18" i="8" s="1"/>
  <c r="P26" i="1"/>
  <c r="M16" i="1"/>
  <c r="P16" i="1" s="1"/>
  <c r="P250" i="1"/>
  <c r="L94" i="1"/>
  <c r="O94" i="1" s="1"/>
  <c r="P10" i="8"/>
  <c r="M8" i="8"/>
  <c r="P8" i="8" s="1"/>
  <c r="O66" i="8"/>
  <c r="L37" i="8"/>
  <c r="O37" i="8" s="1"/>
  <c r="O10" i="4"/>
  <c r="L8" i="4"/>
  <c r="O8" i="4" s="1"/>
  <c r="P10" i="3"/>
  <c r="M8" i="3"/>
  <c r="P8" i="3" s="1"/>
  <c r="M8" i="12"/>
  <c r="P8" i="12" s="1"/>
  <c r="M8" i="15" l="1"/>
  <c r="P8" i="15" s="1"/>
  <c r="L8" i="11"/>
  <c r="O8" i="11" s="1"/>
  <c r="L8" i="12"/>
  <c r="O8" i="12" s="1"/>
  <c r="O10" i="6"/>
  <c r="M8" i="16"/>
  <c r="P8" i="16" s="1"/>
  <c r="O10" i="5"/>
  <c r="L8" i="16"/>
  <c r="O8" i="16" s="1"/>
  <c r="L8" i="17"/>
  <c r="O8" i="17" s="1"/>
  <c r="M8" i="11"/>
  <c r="P8" i="11" s="1"/>
  <c r="L8" i="20"/>
  <c r="O8" i="20" s="1"/>
  <c r="P10" i="14"/>
  <c r="M8" i="17"/>
  <c r="P8" i="17" s="1"/>
  <c r="L8" i="9"/>
  <c r="O8" i="9" s="1"/>
  <c r="L8" i="21"/>
  <c r="O8" i="21" s="1"/>
  <c r="L8" i="8"/>
  <c r="O8" i="8" s="1"/>
  <c r="P10" i="6"/>
  <c r="M8" i="6"/>
  <c r="P8" i="6" s="1"/>
  <c r="M10" i="1"/>
  <c r="P10" i="18"/>
  <c r="M8" i="18"/>
  <c r="P8" i="18" s="1"/>
  <c r="P10" i="20"/>
  <c r="M8" i="20"/>
  <c r="P8" i="20" s="1"/>
  <c r="P10" i="21"/>
  <c r="M8" i="21"/>
  <c r="P8" i="21" s="1"/>
  <c r="O20" i="1"/>
  <c r="L18" i="1"/>
  <c r="O18" i="1" s="1"/>
  <c r="P10" i="7"/>
  <c r="M8" i="7"/>
  <c r="P8" i="7" s="1"/>
  <c r="L10" i="1"/>
  <c r="O12" i="1"/>
  <c r="O41" i="1"/>
  <c r="L37" i="1"/>
  <c r="O37" i="1" s="1"/>
  <c r="O10" i="18"/>
  <c r="L8" i="18"/>
  <c r="O8" i="18" s="1"/>
  <c r="P41" i="1"/>
  <c r="M37" i="1"/>
  <c r="P37" i="1" s="1"/>
  <c r="P10" i="10"/>
  <c r="M8" i="10"/>
  <c r="P8" i="10" s="1"/>
  <c r="O10" i="10"/>
  <c r="L8" i="10"/>
  <c r="O8" i="10" s="1"/>
  <c r="P10" i="2"/>
  <c r="M8" i="2"/>
  <c r="P8" i="2" s="1"/>
  <c r="O10" i="19"/>
  <c r="L8" i="19"/>
  <c r="O8" i="19" s="1"/>
  <c r="P10" i="13"/>
  <c r="M8" i="13"/>
  <c r="P8" i="13" s="1"/>
  <c r="O10" i="1" l="1"/>
  <c r="L8" i="1"/>
  <c r="O8" i="1" s="1"/>
  <c r="P10" i="1"/>
  <c r="M8" i="1"/>
  <c r="P8" i="1" s="1"/>
</calcChain>
</file>

<file path=xl/sharedStrings.xml><?xml version="1.0" encoding="utf-8"?>
<sst xmlns="http://schemas.openxmlformats.org/spreadsheetml/2006/main" count="26250" uniqueCount="279">
  <si>
    <t>รายละเอียดแผนงาน/โครงการ ผลผลิต/กิจกรรม ปีงบประมาณ พ.ศ. 2565</t>
  </si>
  <si>
    <t>ภาคตะวันออกเฉียงเหนือ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</si>
  <si>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</si>
  <si>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</si>
  <si>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</si>
  <si>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</si>
  <si>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</si>
  <si>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</si>
  <si>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</si>
  <si>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</si>
  <si>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</si>
  <si>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</si>
  <si>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</si>
  <si>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</si>
  <si>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</si>
  <si>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</si>
  <si>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</si>
  <si>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</si>
  <si>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</si>
  <si>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</si>
  <si>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</si>
  <si>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</si>
  <si>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</si>
  <si>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</si>
  <si>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</si>
  <si>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</si>
  <si>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</si>
  <si>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</si>
  <si>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</si>
  <si>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</si>
  <si>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</si>
  <si>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</si>
  <si>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</si>
  <si>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</si>
  <si>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</si>
  <si>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</si>
  <si>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</si>
  <si>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</si>
  <si>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</si>
  <si>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</si>
  <si>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</si>
  <si>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</si>
  <si>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</si>
  <si>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</si>
  <si>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</si>
  <si>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</si>
  <si>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</si>
  <si>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</si>
  <si>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</si>
  <si>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</si>
  <si>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</si>
  <si>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</si>
  <si>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</si>
  <si>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</si>
  <si>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</si>
  <si>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</si>
  <si>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</si>
  <si>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</si>
  <si>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</si>
  <si>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</si>
  <si>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</si>
  <si>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</si>
  <si>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</si>
  <si>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</si>
  <si>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</si>
  <si>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</si>
  <si>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</si>
  <si>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</si>
  <si>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</si>
  <si>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</si>
  <si>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</si>
  <si>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</si>
  <si>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</si>
  <si>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</si>
  <si>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</si>
  <si>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</si>
  <si>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</si>
  <si>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>งบประมาณ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</si>
  <si>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</si>
  <si>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</si>
  <si>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</si>
  <si>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</si>
  <si>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</si>
  <si>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</si>
  <si>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</si>
  <si>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</si>
  <si>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</si>
  <si>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</si>
  <si>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</si>
  <si>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</si>
  <si>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</si>
  <si>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</si>
  <si>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</si>
  <si>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</si>
  <si>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</si>
  <si>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</si>
  <si>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</si>
  <si>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</si>
  <si>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</si>
  <si>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</si>
  <si>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</si>
  <si>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</si>
  <si>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</si>
  <si>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</si>
  <si>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</si>
  <si>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</si>
  <si>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</si>
  <si>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</si>
  <si>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</si>
  <si>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</si>
  <si>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</si>
  <si>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</si>
  <si>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</si>
  <si>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</si>
  <si>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</si>
  <si>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</si>
  <si>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</si>
  <si>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</si>
  <si>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</si>
  <si>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</si>
  <si>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</si>
  <si>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</si>
  <si>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</si>
  <si>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</si>
  <si>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</si>
  <si>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</si>
  <si>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</si>
  <si>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</si>
  <si>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</si>
  <si>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</si>
  <si>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</si>
  <si>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</si>
  <si>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</si>
  <si>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</si>
  <si>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</si>
  <si>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</si>
  <si>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</si>
  <si>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</si>
  <si>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</si>
  <si>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 xml:space="preserve"> - กลุ่ม/พื้นที่เดิม (ขั้นที่ 2-3)</t>
  </si>
  <si>
    <t xml:space="preserve"> - กลุ่ม/พื้นที่ใหม่ (ขั้นที่ 1)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</si>
  <si>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</si>
  <si>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</si>
  <si>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</si>
  <si>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</si>
  <si>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</si>
  <si>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</si>
  <si>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</si>
  <si>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</si>
  <si>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</si>
  <si>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</si>
  <si>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</si>
  <si>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</si>
  <si>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</si>
  <si>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</si>
  <si>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</si>
  <si>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</si>
  <si>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</si>
  <si>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</si>
  <si>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</si>
  <si>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</si>
  <si>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</si>
  <si>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</si>
  <si>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</si>
  <si>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</si>
  <si>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</si>
  <si>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</si>
  <si>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</si>
  <si>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</si>
  <si>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</si>
  <si>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</si>
  <si>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</si>
  <si>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</si>
  <si>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</si>
  <si>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</si>
  <si>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</si>
  <si>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</si>
  <si>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</si>
  <si>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</si>
  <si>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</si>
  <si>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</si>
  <si>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</si>
  <si>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</si>
  <si>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</si>
  <si>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</si>
  <si>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</si>
  <si>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</si>
  <si>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</si>
  <si>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</si>
  <si>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</si>
  <si>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</si>
  <si>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</si>
  <si>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</si>
  <si>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</si>
  <si>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</si>
  <si>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</si>
  <si>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</si>
  <si>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</si>
  <si>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</si>
  <si>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</si>
  <si>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</si>
  <si>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</si>
  <si>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</si>
  <si>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</si>
  <si>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</si>
  <si>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</si>
  <si>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</si>
  <si>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</si>
  <si>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</si>
  <si>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</si>
  <si>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</si>
  <si>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</si>
  <si>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</si>
  <si>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</si>
  <si>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</si>
  <si>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</si>
  <si>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</si>
  <si>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</si>
  <si>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</si>
  <si>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</si>
  <si>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</si>
  <si>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</si>
  <si>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</si>
  <si>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</si>
  <si>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</si>
  <si>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</si>
  <si>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</si>
  <si>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</si>
  <si>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</si>
  <si>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</si>
  <si>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</si>
  <si>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</si>
  <si>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</si>
  <si>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</si>
  <si>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</si>
  <si>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</si>
  <si>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</si>
  <si>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* เป็นโครงการที่มีงบลงทุนอยู่ในกิจกรรมตาม พรบ.</t>
  </si>
  <si>
    <t>สำนักงานการปฏิรูปที่ดินจังหวัด กาฬสินธุ์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</si>
  <si>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</si>
  <si>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ขอนแก่น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</si>
  <si>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</si>
  <si>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ชัยภูมิ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</si>
  <si>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</si>
  <si>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นครพนม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</si>
  <si>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</si>
  <si>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นครราชสีมา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</si>
  <si>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</si>
  <si>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บึงกาฬ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</si>
  <si>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</si>
  <si>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บุรีรัมย์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</si>
  <si>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</si>
  <si>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มหาสารคาม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</si>
  <si>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</si>
  <si>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มุกดาหาร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</si>
  <si>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</si>
  <si>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ยโสธร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</si>
  <si>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</si>
  <si>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ร้อยเอ็ด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</si>
  <si>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</si>
  <si>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เลย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</si>
  <si>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</si>
  <si>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ศรีสะเกษ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</si>
  <si>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</si>
  <si>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สกลนคร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</si>
  <si>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</si>
  <si>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สุรินทร์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</si>
  <si>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</si>
  <si>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หนองคาย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</si>
  <si>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</si>
  <si>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หนองบัวลำภู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</si>
  <si>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</si>
  <si>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อำนาจเจริญ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</si>
  <si>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</si>
  <si>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อุดรธานี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</si>
  <si>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</si>
  <si>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อุบลราชธานี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</si>
  <si>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</si>
  <si>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31 มีนาคม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</si>
</sst>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  <numFmt numFmtId="192" formatCode="_-* #,##0.0_-;\-* #,##0.0_-;_-* &quot;-&quot;_-;_-@"/>
  </numFmts>
  <fonts count="22" x14ac:knownFonts="1">
    <font>
      <sz val="11"/>
      <color theme="1"/>
      <name val="Calibri"/>
      <scheme val="minor"/>
    </font>
    <font>
      <b/>
      <sz val="15"/>
      <color theme="1"/>
      <name val="Calibri"/>
      <scheme val="minor"/>
    </font>
    <font>
      <sz val="15"/>
      <color theme="1"/>
      <name val="Calibri"/>
      <scheme val="minor"/>
    </font>
    <font>
      <sz val="11"/>
      <name val="Calibri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sz val="15"/>
      <color theme="0"/>
      <name val="Calibri"/>
      <scheme val="minor"/>
    </font>
    <font>
      <b/>
      <sz val="15"/>
      <color rgb="FF000000"/>
      <name val="Calibri"/>
      <scheme val="minor"/>
    </font>
    <font>
      <sz val="15"/>
      <color rgb="FF000000"/>
      <name val="Calibri"/>
      <scheme val="minor"/>
    </font>
    <font>
      <sz val="15"/>
      <color rgb="FFFF0000"/>
      <name val="Calibri"/>
      <scheme val="minor"/>
    </font>
    <font>
      <sz val="15"/>
      <color theme="0"/>
      <name val="Calibri"/>
      <scheme val="minor"/>
    </font>
    <font>
      <b/>
      <u/>
      <sz val="15"/>
      <color theme="1"/>
      <name val="Calibri"/>
    </font>
    <font>
      <b/>
      <u/>
      <sz val="15"/>
      <color rgb="FFCC4125"/>
      <name val="Calibri"/>
    </font>
  </fonts>
  <fills count="32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</fills>
  <borders count="5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583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1" fillId="8" borderId="12" xfId="0" applyFont="1" applyFill="1" applyBorder="1" applyAlignment="1"/>
    <xf numFmtId="189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>
      <alignment horizontal="center"/>
    </xf>
    <xf numFmtId="188" fontId="1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2" fillId="11" borderId="12" xfId="0" applyFont="1" applyFill="1" applyBorder="1" applyAlignment="1">
      <alignment horizontal="left"/>
    </xf>
    <xf numFmtId="189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/>
    <xf numFmtId="0" fontId="1" fillId="12" borderId="13" xfId="0" applyFont="1" applyFill="1" applyBorder="1" applyAlignment="1"/>
    <xf numFmtId="0" fontId="1" fillId="12" borderId="15" xfId="0" applyFont="1" applyFill="1" applyBorder="1" applyAlignment="1">
      <alignment horizontal="center"/>
    </xf>
    <xf numFmtId="189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/>
    <xf numFmtId="0" fontId="1" fillId="13" borderId="17" xfId="0" applyFont="1" applyFill="1" applyBorder="1" applyAlignment="1"/>
    <xf numFmtId="0" fontId="1" fillId="13" borderId="18" xfId="0" applyFont="1" applyFill="1" applyBorder="1" applyAlignment="1">
      <alignment horizontal="left"/>
    </xf>
    <xf numFmtId="0" fontId="1" fillId="13" borderId="18" xfId="0" applyFont="1" applyFill="1" applyBorder="1" applyAlignment="1"/>
    <xf numFmtId="0" fontId="1" fillId="13" borderId="19" xfId="0" applyFont="1" applyFill="1" applyBorder="1" applyAlignment="1">
      <alignment horizontal="center"/>
    </xf>
    <xf numFmtId="189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/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0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1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12" fillId="2" borderId="30" xfId="0" quotePrefix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3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0" fontId="2" fillId="0" borderId="19" xfId="0" applyFont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4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1" fillId="2" borderId="18" xfId="0" applyNumberFormat="1" applyFont="1" applyFill="1" applyBorder="1" applyAlignment="1">
      <alignment horizontal="left" vertical="center"/>
    </xf>
    <xf numFmtId="0" fontId="2" fillId="2" borderId="18" xfId="0" quotePrefix="1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0" fontId="16" fillId="8" borderId="12" xfId="0" applyFont="1" applyFill="1" applyBorder="1" applyAlignment="1"/>
    <xf numFmtId="189" fontId="16" fillId="8" borderId="12" xfId="0" applyNumberFormat="1" applyFont="1" applyFill="1" applyBorder="1" applyAlignment="1"/>
    <xf numFmtId="188" fontId="16" fillId="8" borderId="12" xfId="0" applyNumberFormat="1" applyFont="1" applyFill="1" applyBorder="1" applyAlignment="1"/>
    <xf numFmtId="188" fontId="16" fillId="8" borderId="12" xfId="0" applyNumberFormat="1" applyFont="1" applyFill="1" applyBorder="1" applyAlignment="1">
      <alignment horizontal="center"/>
    </xf>
    <xf numFmtId="188" fontId="16" fillId="8" borderId="12" xfId="0" applyNumberFormat="1" applyFont="1" applyFill="1" applyBorder="1" applyAlignment="1">
      <alignment horizontal="right"/>
    </xf>
    <xf numFmtId="0" fontId="17" fillId="11" borderId="12" xfId="0" applyFont="1" applyFill="1" applyBorder="1" applyAlignment="1">
      <alignment horizontal="left"/>
    </xf>
    <xf numFmtId="189" fontId="17" fillId="11" borderId="12" xfId="0" applyNumberFormat="1" applyFont="1" applyFill="1" applyBorder="1" applyAlignment="1">
      <alignment horizontal="left"/>
    </xf>
    <xf numFmtId="188" fontId="17" fillId="11" borderId="12" xfId="0" applyNumberFormat="1" applyFont="1" applyFill="1" applyBorder="1" applyAlignment="1">
      <alignment horizontal="left"/>
    </xf>
    <xf numFmtId="188" fontId="17" fillId="11" borderId="12" xfId="0" applyNumberFormat="1" applyFont="1" applyFill="1" applyBorder="1" applyAlignment="1"/>
    <xf numFmtId="0" fontId="16" fillId="12" borderId="13" xfId="0" applyFont="1" applyFill="1" applyBorder="1" applyAlignment="1"/>
    <xf numFmtId="0" fontId="16" fillId="12" borderId="15" xfId="0" applyFont="1" applyFill="1" applyBorder="1" applyAlignment="1">
      <alignment horizontal="center"/>
    </xf>
    <xf numFmtId="189" fontId="16" fillId="12" borderId="16" xfId="0" applyNumberFormat="1" applyFont="1" applyFill="1" applyBorder="1" applyAlignment="1">
      <alignment horizontal="right"/>
    </xf>
    <xf numFmtId="188" fontId="16" fillId="12" borderId="16" xfId="0" applyNumberFormat="1" applyFont="1" applyFill="1" applyBorder="1" applyAlignment="1">
      <alignment horizontal="right"/>
    </xf>
    <xf numFmtId="188" fontId="16" fillId="12" borderId="16" xfId="0" applyNumberFormat="1" applyFont="1" applyFill="1" applyBorder="1" applyAlignment="1"/>
    <xf numFmtId="0" fontId="16" fillId="13" borderId="17" xfId="0" applyFont="1" applyFill="1" applyBorder="1" applyAlignment="1"/>
    <xf numFmtId="0" fontId="16" fillId="13" borderId="18" xfId="0" applyFont="1" applyFill="1" applyBorder="1" applyAlignment="1">
      <alignment horizontal="left"/>
    </xf>
    <xf numFmtId="0" fontId="16" fillId="13" borderId="18" xfId="0" applyFont="1" applyFill="1" applyBorder="1" applyAlignment="1"/>
    <xf numFmtId="0" fontId="16" fillId="13" borderId="19" xfId="0" applyFont="1" applyFill="1" applyBorder="1" applyAlignment="1">
      <alignment horizontal="center"/>
    </xf>
    <xf numFmtId="189" fontId="16" fillId="13" borderId="20" xfId="0" applyNumberFormat="1" applyFont="1" applyFill="1" applyBorder="1" applyAlignment="1">
      <alignment horizontal="right"/>
    </xf>
    <xf numFmtId="188" fontId="16" fillId="13" borderId="20" xfId="0" applyNumberFormat="1" applyFont="1" applyFill="1" applyBorder="1" applyAlignment="1">
      <alignment horizontal="right"/>
    </xf>
    <xf numFmtId="188" fontId="16" fillId="13" borderId="20" xfId="0" applyNumberFormat="1" applyFont="1" applyFill="1" applyBorder="1" applyAlignment="1"/>
    <xf numFmtId="188" fontId="18" fillId="10" borderId="23" xfId="0" applyNumberFormat="1" applyFont="1" applyFill="1" applyBorder="1" applyAlignment="1"/>
    <xf numFmtId="188" fontId="2" fillId="15" borderId="20" xfId="0" applyNumberFormat="1" applyFont="1" applyFill="1" applyBorder="1" applyAlignment="1">
      <alignment horizontal="left"/>
    </xf>
    <xf numFmtId="188" fontId="2" fillId="15" borderId="20" xfId="0" applyNumberFormat="1" applyFont="1" applyFill="1" applyBorder="1" applyAlignment="1"/>
    <xf numFmtId="188" fontId="2" fillId="15" borderId="23" xfId="0" applyNumberFormat="1" applyFont="1" applyFill="1" applyBorder="1" applyAlignment="1"/>
    <xf numFmtId="188" fontId="18" fillId="10" borderId="19" xfId="0" applyNumberFormat="1" applyFont="1" applyFill="1" applyBorder="1" applyAlignment="1">
      <alignment vertical="center"/>
    </xf>
    <xf numFmtId="188" fontId="18" fillId="10" borderId="19" xfId="0" applyNumberFormat="1" applyFont="1" applyFill="1" applyBorder="1" applyAlignment="1">
      <alignment vertical="center"/>
    </xf>
    <xf numFmtId="187" fontId="15" fillId="2" borderId="17" xfId="0" applyNumberFormat="1" applyFont="1" applyFill="1" applyBorder="1" applyAlignment="1">
      <alignment vertical="center"/>
    </xf>
    <xf numFmtId="187" fontId="15" fillId="2" borderId="18" xfId="0" applyNumberFormat="1" applyFont="1" applyFill="1" applyBorder="1" applyAlignment="1">
      <alignment vertical="center"/>
    </xf>
    <xf numFmtId="187" fontId="15" fillId="2" borderId="18" xfId="0" applyNumberFormat="1" applyFont="1" applyFill="1" applyBorder="1" applyAlignment="1">
      <alignment horizontal="left" vertical="center"/>
    </xf>
    <xf numFmtId="0" fontId="19" fillId="2" borderId="18" xfId="0" quotePrefix="1" applyFont="1" applyFill="1" applyBorder="1" applyAlignment="1">
      <alignment vertical="center"/>
    </xf>
    <xf numFmtId="0" fontId="19" fillId="2" borderId="18" xfId="0" applyFont="1" applyFill="1" applyBorder="1" applyAlignment="1">
      <alignment vertical="center"/>
    </xf>
    <xf numFmtId="0" fontId="19" fillId="2" borderId="20" xfId="0" applyFont="1" applyFill="1" applyBorder="1" applyAlignment="1">
      <alignment vertical="center"/>
    </xf>
    <xf numFmtId="0" fontId="19" fillId="2" borderId="19" xfId="0" applyFont="1" applyFill="1" applyBorder="1" applyAlignment="1">
      <alignment horizontal="center" vertical="center" wrapText="1"/>
    </xf>
    <xf numFmtId="189" fontId="19" fillId="2" borderId="19" xfId="0" applyNumberFormat="1" applyFont="1" applyFill="1" applyBorder="1" applyAlignment="1">
      <alignment horizontal="right" vertical="center" wrapText="1"/>
    </xf>
    <xf numFmtId="188" fontId="19" fillId="2" borderId="19" xfId="0" applyNumberFormat="1" applyFont="1" applyFill="1" applyBorder="1" applyAlignment="1">
      <alignment horizontal="right" vertical="center" wrapText="1"/>
    </xf>
    <xf numFmtId="188" fontId="19" fillId="2" borderId="19" xfId="0" applyNumberFormat="1" applyFont="1" applyFill="1" applyBorder="1" applyAlignment="1">
      <alignment vertical="center"/>
    </xf>
    <xf numFmtId="0" fontId="18" fillId="0" borderId="0" xfId="0" applyFont="1" applyAlignment="1">
      <alignment horizontal="left" vertical="center"/>
    </xf>
    <xf numFmtId="192" fontId="2" fillId="0" borderId="19" xfId="0" applyNumberFormat="1" applyFont="1" applyBorder="1" applyAlignment="1">
      <alignment horizontal="right" vertical="center" wrapText="1"/>
    </xf>
    <xf numFmtId="192" fontId="2" fillId="4" borderId="19" xfId="0" applyNumberFormat="1" applyFont="1" applyFill="1" applyBorder="1" applyAlignment="1">
      <alignment horizontal="right" vertical="center" wrapText="1"/>
    </xf>
    <xf numFmtId="0" fontId="7" fillId="15" borderId="18" xfId="0" applyFont="1" applyFill="1" applyBorder="1" applyAlignment="1">
      <alignment horizontal="left"/>
    </xf>
    <xf numFmtId="0" fontId="3" fillId="0" borderId="18" xfId="0" applyFont="1" applyBorder="1"/>
    <xf numFmtId="0" fontId="9" fillId="2" borderId="14" xfId="0" applyFont="1" applyFill="1" applyBorder="1" applyAlignment="1">
      <alignment horizontal="left"/>
    </xf>
    <xf numFmtId="0" fontId="3" fillId="0" borderId="14" xfId="0" applyFont="1" applyBorder="1"/>
    <xf numFmtId="0" fontId="1" fillId="0" borderId="0" xfId="0" applyFont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3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0" fontId="3" fillId="0" borderId="6" xfId="0" applyFont="1" applyBorder="1"/>
    <xf numFmtId="0" fontId="3" fillId="0" borderId="7" xfId="0" applyFont="1" applyBorder="1"/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1" fillId="8" borderId="5" xfId="0" applyFont="1" applyFill="1" applyBorder="1" applyAlignment="1">
      <alignment horizontal="left"/>
    </xf>
    <xf numFmtId="0" fontId="4" fillId="9" borderId="14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left"/>
    </xf>
    <xf numFmtId="0" fontId="1" fillId="11" borderId="5" xfId="0" applyFont="1" applyFill="1" applyBorder="1" applyAlignment="1">
      <alignment horizontal="left"/>
    </xf>
    <xf numFmtId="0" fontId="1" fillId="12" borderId="14" xfId="0" applyFont="1" applyFill="1" applyBorder="1" applyAlignment="1">
      <alignment horizontal="left"/>
    </xf>
    <xf numFmtId="0" fontId="6" fillId="14" borderId="18" xfId="0" applyFont="1" applyFill="1" applyBorder="1" applyAlignment="1">
      <alignment horizontal="left"/>
    </xf>
    <xf numFmtId="0" fontId="1" fillId="18" borderId="18" xfId="0" applyFont="1" applyFill="1" applyBorder="1" applyAlignment="1">
      <alignment horizontal="left"/>
    </xf>
    <xf numFmtId="0" fontId="8" fillId="19" borderId="18" xfId="0" applyFont="1" applyFill="1" applyBorder="1" applyAlignment="1">
      <alignment horizontal="left"/>
    </xf>
    <xf numFmtId="0" fontId="15" fillId="3" borderId="4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16" fillId="8" borderId="5" xfId="0" applyFont="1" applyFill="1" applyBorder="1" applyAlignment="1">
      <alignment horizontal="left"/>
    </xf>
    <xf numFmtId="0" fontId="16" fillId="11" borderId="5" xfId="0" applyFont="1" applyFill="1" applyBorder="1" applyAlignment="1">
      <alignment horizontal="left"/>
    </xf>
    <xf numFmtId="0" fontId="16" fillId="12" borderId="14" xfId="0" applyFont="1" applyFill="1" applyBorder="1" applyAlignment="1">
      <alignment horizontal="left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100" workbookViewId="0">
      <pane ySplit="6" topLeftCell="A7" activePane="bottomLeft" state="frozen"/>
      <selection pane="bottomLeft" activeCell="K558" sqref="K558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6.7265625" bestFit="1" customWidth="1"/>
    <col min="10" max="10" width="15.36328125" bestFit="1" customWidth="1"/>
    <col min="11" max="11" width="10.26953125" bestFit="1" customWidth="1"/>
    <col min="12" max="12" width="20.7265625" bestFit="1" customWidth="1"/>
    <col min="13" max="14" width="19.363281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56" t="s">
        <v>0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</row>
    <row r="2" spans="1:16" ht="18" customHeight="1" x14ac:dyDescent="0.35">
      <c r="A2" s="556" t="s">
        <v>1</v>
      </c>
      <c r="B2" s="556"/>
      <c r="C2" s="556"/>
      <c r="D2" s="556"/>
      <c r="E2" s="556"/>
      <c r="F2" s="556"/>
      <c r="G2" s="556"/>
      <c r="H2" s="556"/>
      <c r="I2" s="556"/>
      <c r="J2" s="556"/>
      <c r="K2" s="556"/>
      <c r="L2" s="556"/>
      <c r="M2" s="556"/>
      <c r="N2" s="556"/>
      <c r="O2" s="556"/>
      <c r="P2" s="556"/>
    </row>
    <row r="3" spans="1:16" ht="18" customHeight="1" x14ac:dyDescent="0.35">
      <c r="A3" s="556" t="s">
        <v>278</v>
      </c>
      <c r="B3" s="556"/>
      <c r="C3" s="556"/>
      <c r="D3" s="556"/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6"/>
      <c r="P3" s="55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64" t="s">
        <v>2</v>
      </c>
      <c r="B5" s="565"/>
      <c r="C5" s="565"/>
      <c r="D5" s="565"/>
      <c r="E5" s="565"/>
      <c r="F5" s="565"/>
      <c r="G5" s="566"/>
      <c r="H5" s="557" t="s">
        <v>3</v>
      </c>
      <c r="I5" s="559" t="s">
        <v>4</v>
      </c>
      <c r="J5" s="560"/>
      <c r="K5" s="561"/>
      <c r="L5" s="562" t="s">
        <v>5</v>
      </c>
      <c r="M5" s="561"/>
      <c r="N5" s="563" t="s">
        <v>6</v>
      </c>
      <c r="O5" s="560"/>
      <c r="P5" s="561"/>
    </row>
    <row r="6" spans="1:16" ht="21.75" customHeight="1" x14ac:dyDescent="0.35">
      <c r="A6" s="567"/>
      <c r="B6" s="568"/>
      <c r="C6" s="568"/>
      <c r="D6" s="568"/>
      <c r="E6" s="568"/>
      <c r="F6" s="568"/>
      <c r="G6" s="569"/>
      <c r="H6" s="55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0" t="s">
        <v>15</v>
      </c>
      <c r="B7" s="560"/>
      <c r="C7" s="560"/>
      <c r="D7" s="560"/>
      <c r="E7" s="560"/>
      <c r="F7" s="560"/>
      <c r="G7" s="56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1" t="s">
        <v>17</v>
      </c>
      <c r="E8" s="555"/>
      <c r="F8" s="555"/>
      <c r="G8" s="555"/>
      <c r="H8" s="20" t="s">
        <v>12</v>
      </c>
      <c r="I8" s="21"/>
      <c r="J8" s="21"/>
      <c r="K8" s="22"/>
      <c r="L8" s="23">
        <f t="shared" ref="L8:N8" ca="1" si="0">L9+L10</f>
        <v>142753342</v>
      </c>
      <c r="M8" s="23">
        <f t="shared" ca="1" si="0"/>
        <v>68904045.819999993</v>
      </c>
      <c r="N8" s="23">
        <f t="shared" ca="1" si="0"/>
        <v>68632147.349999994</v>
      </c>
      <c r="O8" s="22">
        <f t="shared" ref="O8:O16" ca="1" si="1">IF(L8&gt;0,N8*100/L8,0)</f>
        <v>48.07743649882466</v>
      </c>
      <c r="P8" s="22">
        <f t="shared" ref="P8:P16" ca="1" si="2">IF(M8&gt;0,N8*100/M8,0)</f>
        <v>99.605395493451439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142753342</v>
      </c>
      <c r="M10" s="30">
        <f t="shared" ca="1" si="4"/>
        <v>68904045.819999993</v>
      </c>
      <c r="N10" s="30">
        <f t="shared" ca="1" si="4"/>
        <v>68632147.349999994</v>
      </c>
      <c r="O10" s="29">
        <f t="shared" ca="1" si="1"/>
        <v>48.07743649882466</v>
      </c>
      <c r="P10" s="29">
        <f t="shared" ca="1" si="2"/>
        <v>99.605395493451439</v>
      </c>
    </row>
    <row r="11" spans="1:16" ht="21.75" customHeight="1" x14ac:dyDescent="0.45">
      <c r="A11" s="31"/>
      <c r="B11" s="32"/>
      <c r="C11" s="33" t="s">
        <v>16</v>
      </c>
      <c r="D11" s="572" t="s">
        <v>20</v>
      </c>
      <c r="E11" s="553"/>
      <c r="F11" s="55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132101343</v>
      </c>
      <c r="M12" s="38">
        <f t="shared" ca="1" si="6"/>
        <v>58252046.82</v>
      </c>
      <c r="N12" s="38">
        <f t="shared" ca="1" si="6"/>
        <v>57990548.349999994</v>
      </c>
      <c r="O12" s="38">
        <f t="shared" ca="1" si="1"/>
        <v>43.898530501692164</v>
      </c>
      <c r="P12" s="38">
        <f t="shared" ca="1" si="2"/>
        <v>99.551091361977299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44637500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87463843</v>
      </c>
      <c r="M14" s="38">
        <f t="shared" si="8"/>
        <v>0</v>
      </c>
      <c r="N14" s="38">
        <f t="shared" ca="1" si="8"/>
        <v>19129834.369999997</v>
      </c>
      <c r="O14" s="38">
        <f t="shared" ca="1" si="1"/>
        <v>21.871705740165108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2" t="s">
        <v>23</v>
      </c>
      <c r="E15" s="55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10651999</v>
      </c>
      <c r="M16" s="38">
        <f t="shared" ca="1" si="10"/>
        <v>10651999</v>
      </c>
      <c r="N16" s="38">
        <f t="shared" ca="1" si="10"/>
        <v>10641599</v>
      </c>
      <c r="O16" s="49">
        <f t="shared" ca="1" si="1"/>
        <v>99.90236574374444</v>
      </c>
      <c r="P16" s="49">
        <f t="shared" ca="1" si="2"/>
        <v>99.90236574374444</v>
      </c>
    </row>
    <row r="17" spans="1:16" ht="21.75" customHeight="1" x14ac:dyDescent="0.45">
      <c r="A17" s="570" t="s">
        <v>24</v>
      </c>
      <c r="B17" s="560"/>
      <c r="C17" s="560"/>
      <c r="D17" s="560"/>
      <c r="E17" s="560"/>
      <c r="F17" s="560"/>
      <c r="G17" s="56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1" t="s">
        <v>17</v>
      </c>
      <c r="E18" s="555"/>
      <c r="F18" s="555"/>
      <c r="G18" s="555"/>
      <c r="H18" s="20" t="s">
        <v>12</v>
      </c>
      <c r="I18" s="21"/>
      <c r="J18" s="21"/>
      <c r="K18" s="22"/>
      <c r="L18" s="23">
        <f t="shared" ref="L18:N18" ca="1" si="11">L19+L20</f>
        <v>86722159</v>
      </c>
      <c r="M18" s="23">
        <f t="shared" ca="1" si="11"/>
        <v>68904045.819999993</v>
      </c>
      <c r="N18" s="23">
        <f t="shared" ca="1" si="11"/>
        <v>49502312.979999997</v>
      </c>
      <c r="O18" s="22">
        <f t="shared" ref="O18:O26" ca="1" si="12">IF(L18&gt;0,N18*100/L18,0)</f>
        <v>57.081504370757187</v>
      </c>
      <c r="P18" s="22">
        <f t="shared" ref="P18:P26" ca="1" si="13">IF(M18&gt;0,N18*100/M18,0)</f>
        <v>71.842389501069803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86722159</v>
      </c>
      <c r="M20" s="30">
        <f t="shared" ca="1" si="15"/>
        <v>68904045.819999993</v>
      </c>
      <c r="N20" s="30">
        <f t="shared" ca="1" si="15"/>
        <v>49502312.979999997</v>
      </c>
      <c r="O20" s="29">
        <f t="shared" ca="1" si="12"/>
        <v>57.081504370757187</v>
      </c>
      <c r="P20" s="29">
        <f t="shared" ca="1" si="13"/>
        <v>71.842389501069803</v>
      </c>
    </row>
    <row r="21" spans="1:16" ht="21.75" customHeight="1" x14ac:dyDescent="0.45">
      <c r="A21" s="31"/>
      <c r="B21" s="32"/>
      <c r="C21" s="33" t="s">
        <v>16</v>
      </c>
      <c r="D21" s="572" t="s">
        <v>20</v>
      </c>
      <c r="E21" s="553"/>
      <c r="F21" s="55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si="12"/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7">L45+L57+L70+L98+L122+L144+L224+L254+L275+L294+L314+L333</f>
        <v>76070160</v>
      </c>
      <c r="M22" s="41">
        <f t="shared" ca="1" si="17"/>
        <v>58252046.82</v>
      </c>
      <c r="N22" s="38">
        <f t="shared" ca="1" si="17"/>
        <v>38860713.979999997</v>
      </c>
      <c r="O22" s="38">
        <f t="shared" ca="1" si="12"/>
        <v>51.085358542692688</v>
      </c>
      <c r="P22" s="38">
        <f t="shared" ca="1" si="13"/>
        <v>66.711327929953057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8">L46+L58+L71+L99+L123+L145+L225+L255+L276+L295+L315+L334</f>
        <v>44637500</v>
      </c>
      <c r="M23" s="41">
        <f t="shared" si="18"/>
        <v>0</v>
      </c>
      <c r="N23" s="38">
        <f t="shared" si="18"/>
        <v>0</v>
      </c>
      <c r="O23" s="38">
        <f t="shared" ca="1" si="12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19">L47+L59+L72+L100+L124+L146+L226+L256+L277+L296+L316+L335</f>
        <v>31432660</v>
      </c>
      <c r="M24" s="41">
        <f t="shared" si="19"/>
        <v>0</v>
      </c>
      <c r="N24" s="38">
        <f t="shared" si="19"/>
        <v>0</v>
      </c>
      <c r="O24" s="38">
        <f t="shared" ca="1" si="12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2" t="s">
        <v>23</v>
      </c>
      <c r="E25" s="55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0">L48+L60+L73+L101+L125+L147+L227+L257+L278+L297+L317+L336</f>
        <v>0</v>
      </c>
      <c r="M25" s="41">
        <f t="shared" si="20"/>
        <v>0</v>
      </c>
      <c r="N25" s="41">
        <f t="shared" si="20"/>
        <v>0</v>
      </c>
      <c r="O25" s="41">
        <f t="shared" si="12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1">L49+L61+L74+L102+L126+L148+L228+L258+L279+L298+L318+L337</f>
        <v>10651999</v>
      </c>
      <c r="M26" s="49">
        <f t="shared" ca="1" si="21"/>
        <v>10651999</v>
      </c>
      <c r="N26" s="49">
        <f t="shared" ca="1" si="21"/>
        <v>10641599</v>
      </c>
      <c r="O26" s="49">
        <f t="shared" ca="1" si="12"/>
        <v>99.90236574374444</v>
      </c>
      <c r="P26" s="49">
        <f t="shared" ca="1" si="13"/>
        <v>99.90236574374444</v>
      </c>
    </row>
    <row r="27" spans="1:16" ht="21.75" customHeight="1" x14ac:dyDescent="0.45">
      <c r="A27" s="570" t="s">
        <v>25</v>
      </c>
      <c r="B27" s="560"/>
      <c r="C27" s="560"/>
      <c r="D27" s="560"/>
      <c r="E27" s="560"/>
      <c r="F27" s="560"/>
      <c r="G27" s="56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1" t="s">
        <v>17</v>
      </c>
      <c r="E28" s="555"/>
      <c r="F28" s="555"/>
      <c r="G28" s="555"/>
      <c r="H28" s="20" t="s">
        <v>12</v>
      </c>
      <c r="I28" s="21"/>
      <c r="J28" s="21"/>
      <c r="K28" s="22"/>
      <c r="L28" s="23">
        <f t="shared" ref="L28:N28" ca="1" si="22">L29+L30</f>
        <v>56031183</v>
      </c>
      <c r="M28" s="23">
        <f t="shared" si="22"/>
        <v>0</v>
      </c>
      <c r="N28" s="23">
        <f t="shared" ca="1" si="22"/>
        <v>19129834.369999997</v>
      </c>
      <c r="O28" s="22">
        <f t="shared" ref="O28:O30" ca="1" si="23">IF(L28&gt;0,N28*100/L28,0)</f>
        <v>34.141407241035758</v>
      </c>
      <c r="P28" s="22">
        <f t="shared" ref="P28:P37" si="24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5">L31+L35</f>
        <v>0</v>
      </c>
      <c r="M29" s="30">
        <f t="shared" si="25"/>
        <v>0</v>
      </c>
      <c r="N29" s="30">
        <f t="shared" ca="1" si="25"/>
        <v>0</v>
      </c>
      <c r="O29" s="29">
        <f t="shared" ca="1" si="23"/>
        <v>0</v>
      </c>
      <c r="P29" s="29">
        <f t="shared" si="24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6">L32+L36</f>
        <v>56031183</v>
      </c>
      <c r="M30" s="30">
        <f t="shared" si="26"/>
        <v>0</v>
      </c>
      <c r="N30" s="30">
        <f t="shared" ca="1" si="26"/>
        <v>19129834.369999997</v>
      </c>
      <c r="O30" s="29">
        <f t="shared" ca="1" si="23"/>
        <v>34.141407241035758</v>
      </c>
      <c r="P30" s="29">
        <f t="shared" si="24"/>
        <v>0</v>
      </c>
    </row>
    <row r="31" spans="1:16" ht="21.75" customHeight="1" x14ac:dyDescent="0.45">
      <c r="A31" s="31"/>
      <c r="B31" s="32"/>
      <c r="C31" s="33" t="s">
        <v>16</v>
      </c>
      <c r="D31" s="572" t="s">
        <v>20</v>
      </c>
      <c r="E31" s="553"/>
      <c r="F31" s="553"/>
      <c r="G31" s="34" t="s">
        <v>18</v>
      </c>
      <c r="H31" s="35" t="s">
        <v>12</v>
      </c>
      <c r="I31" s="36"/>
      <c r="J31" s="36"/>
      <c r="K31" s="37"/>
      <c r="L31" s="38">
        <f t="shared" ref="L31:N31" ca="1" si="27">L351+L382+L403+L436+L456+L534+L552+L565+L581+L598</f>
        <v>0</v>
      </c>
      <c r="M31" s="38">
        <f t="shared" si="27"/>
        <v>0</v>
      </c>
      <c r="N31" s="38">
        <f t="shared" ca="1" si="27"/>
        <v>0</v>
      </c>
      <c r="O31" s="38">
        <f t="shared" ref="O31:O37" ca="1" si="28">IF(L31&gt;0,N31*100/L31,0)</f>
        <v>0</v>
      </c>
      <c r="P31" s="38">
        <f t="shared" si="24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29">L352+L383+L404+L437+L457+L535+L553+L566+L582+L599</f>
        <v>56031183</v>
      </c>
      <c r="M32" s="38">
        <f t="shared" si="29"/>
        <v>0</v>
      </c>
      <c r="N32" s="38">
        <f t="shared" ca="1" si="29"/>
        <v>19129834.369999997</v>
      </c>
      <c r="O32" s="38">
        <f t="shared" ca="1" si="28"/>
        <v>34.141407241035758</v>
      </c>
      <c r="P32" s="38">
        <f t="shared" si="24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0">L353+L384+L405+L438+L458+L536+L554+L567+L583+L600</f>
        <v>0</v>
      </c>
      <c r="M33" s="38">
        <f t="shared" si="30"/>
        <v>0</v>
      </c>
      <c r="N33" s="38">
        <f t="shared" ca="1" si="30"/>
        <v>0</v>
      </c>
      <c r="O33" s="38">
        <f t="shared" ca="1" si="28"/>
        <v>0</v>
      </c>
      <c r="P33" s="38">
        <f t="shared" si="24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1">L354+L385+L406+L439+L459+L537+L555+L568+L584+L601</f>
        <v>56031183</v>
      </c>
      <c r="M34" s="38">
        <f t="shared" si="31"/>
        <v>0</v>
      </c>
      <c r="N34" s="38">
        <f t="shared" ca="1" si="31"/>
        <v>19129834.369999997</v>
      </c>
      <c r="O34" s="38">
        <f t="shared" ca="1" si="28"/>
        <v>34.141407241035758</v>
      </c>
      <c r="P34" s="38">
        <f t="shared" si="24"/>
        <v>0</v>
      </c>
    </row>
    <row r="35" spans="1:16" ht="21.75" customHeight="1" x14ac:dyDescent="0.45">
      <c r="A35" s="31"/>
      <c r="B35" s="32"/>
      <c r="C35" s="33" t="s">
        <v>16</v>
      </c>
      <c r="D35" s="572" t="s">
        <v>23</v>
      </c>
      <c r="E35" s="55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8"/>
        <v>0</v>
      </c>
      <c r="P35" s="41">
        <f t="shared" si="24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8"/>
        <v>0</v>
      </c>
      <c r="P36" s="49">
        <f t="shared" si="24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2">L41+L53+L66+L94+L118+L140+L220+L250+L271+L290+L310+L329</f>
        <v>86722159</v>
      </c>
      <c r="M37" s="54">
        <f t="shared" ca="1" si="32"/>
        <v>68904045.819999993</v>
      </c>
      <c r="N37" s="54">
        <f t="shared" ca="1" si="32"/>
        <v>49502312.979999997</v>
      </c>
      <c r="O37" s="55">
        <f t="shared" ca="1" si="28"/>
        <v>57.081504370757187</v>
      </c>
      <c r="P37" s="55">
        <f t="shared" ca="1" si="24"/>
        <v>71.842389501069803</v>
      </c>
    </row>
    <row r="38" spans="1:16" ht="21.75" customHeight="1" x14ac:dyDescent="0.45">
      <c r="A38" s="573" t="s">
        <v>27</v>
      </c>
      <c r="B38" s="560"/>
      <c r="C38" s="560"/>
      <c r="D38" s="560"/>
      <c r="E38" s="560"/>
      <c r="F38" s="560"/>
      <c r="G38" s="56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74" t="s">
        <v>28</v>
      </c>
      <c r="C39" s="555"/>
      <c r="D39" s="555"/>
      <c r="E39" s="555"/>
      <c r="F39" s="555"/>
      <c r="G39" s="55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75" t="s">
        <v>17</v>
      </c>
      <c r="E41" s="553"/>
      <c r="F41" s="553"/>
      <c r="G41" s="553"/>
      <c r="H41" s="75" t="s">
        <v>12</v>
      </c>
      <c r="I41" s="76"/>
      <c r="J41" s="76"/>
      <c r="K41" s="77"/>
      <c r="L41" s="78">
        <f t="shared" ref="L41:N41" ca="1" si="33">L42+L43</f>
        <v>24400409</v>
      </c>
      <c r="M41" s="78">
        <f t="shared" ca="1" si="33"/>
        <v>20288329</v>
      </c>
      <c r="N41" s="78">
        <f t="shared" ca="1" si="33"/>
        <v>16477459.34</v>
      </c>
      <c r="O41" s="77">
        <f t="shared" ref="O41:O43" ca="1" si="34">IF(L41&gt;0,N41*100/L41,0)</f>
        <v>67.529439117188574</v>
      </c>
      <c r="P41" s="77">
        <f t="shared" ref="P41:P43" ca="1" si="35">IF(M41&gt;0,N41*100/M41,0)</f>
        <v>81.216443897375683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6">L44+L48</f>
        <v>0</v>
      </c>
      <c r="M42" s="78">
        <f t="shared" si="36"/>
        <v>0</v>
      </c>
      <c r="N42" s="78">
        <f t="shared" si="36"/>
        <v>0</v>
      </c>
      <c r="O42" s="77">
        <f t="shared" si="34"/>
        <v>0</v>
      </c>
      <c r="P42" s="77">
        <f t="shared" si="35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7">L45+L49</f>
        <v>24400409</v>
      </c>
      <c r="M43" s="78">
        <f t="shared" ca="1" si="37"/>
        <v>20288329</v>
      </c>
      <c r="N43" s="78">
        <f t="shared" ca="1" si="37"/>
        <v>16477459.34</v>
      </c>
      <c r="O43" s="77">
        <f t="shared" ca="1" si="34"/>
        <v>67.529439117188574</v>
      </c>
      <c r="P43" s="77">
        <f t="shared" ca="1" si="35"/>
        <v>81.216443897375683</v>
      </c>
    </row>
    <row r="44" spans="1:16" ht="21.75" customHeight="1" x14ac:dyDescent="0.45">
      <c r="A44" s="79"/>
      <c r="B44" s="80"/>
      <c r="C44" s="81" t="s">
        <v>16</v>
      </c>
      <c r="D44" s="552" t="s">
        <v>20</v>
      </c>
      <c r="E44" s="553"/>
      <c r="F44" s="553"/>
      <c r="G44" s="82" t="s">
        <v>18</v>
      </c>
      <c r="H44" s="83" t="s">
        <v>12</v>
      </c>
      <c r="I44" s="84"/>
      <c r="J44" s="84"/>
      <c r="K44" s="85"/>
      <c r="L44" s="86">
        <f>กาฬสินธุ์!L44+ขอนแก่น!L44+ชัยภูมิ!L44+นครพนม!L44+นครราชสีมา!L44+บึงกาฬ!L44+บุรีรัมย์!L44+มหาสารคาม!L44+มุกดาหาร!L44+ยโสธร!L44+ร้อยเอ็ด!L44+เลย!L44+ศรีสะเกษ!L44+สกลนคร!L44+สุรินทร์!L44+หนองคาย!L44+หนองบัวลำภู!L44+อำนาจเจริญ!L44+อุดรธานี!L44+อุบลราชธานี!L44</f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กาฬสินธุ์!L45+ขอนแก่น!L45+ชัยภูมิ!L45+นครพนม!L45+นครราชสีมา!L45+บึงกาฬ!L45+บุรีรัมย์!L45+มหาสารคาม!L45+มุกดาหาร!L45+ยโสธร!L45+ร้อยเอ็ด!L45+เลย!L45+ศรีสะเกษ!L45+สกลนคร!L45+สุรินทร์!L45+หนองคาย!L45+หนองบัวลำภู!L45+อำนาจเจริญ!L45+อุดรธานี!L45+อุบลราชธานี!L45</f>
        <v>16320100</v>
      </c>
      <c r="M45" s="49">
        <f ca="1">กาฬสินธุ์!M45+ขอนแก่น!M45+ชัยภูมิ!M45+นครพนม!M45+นครราชสีมา!M45+บึงกาฬ!M45+บุรีรัมย์!M45+มหาสารคาม!M45+มุกดาหาร!M45+ยโสธร!M45+ร้อยเอ็ด!M45+เลย!M45+ศรีสะเกษ!M45+สกลนคร!M45+สุรินทร์!M45+หนองคาย!M45+หนองบัวลำภู!M45+อำนาจเจริญ!M45+อุดรธานี!M45+อุบลราชธานี!M45</f>
        <v>12208020</v>
      </c>
      <c r="N45" s="49">
        <f ca="1">กาฬสินธุ์!N45+ขอนแก่น!N45+ชัยภูมิ!N45+นครพนม!N45+นครราชสีมา!N45+บึงกาฬ!N45+บุรีรัมย์!N45+มหาสารคาม!N45+มุกดาหาร!N45+ยโสธร!N45+ร้อยเอ็ด!N45+เลย!N45+ศรีสะเกษ!N45+สกลนคร!N45+สุรินทร์!N45+หนองคาย!N45+หนองบัวลำภู!N45+อำนาจเจริญ!N45+อุดรธานี!N45+อุบลราชธานี!N45</f>
        <v>8407150.3399999999</v>
      </c>
      <c r="O45" s="38">
        <f ca="1">IF(L45&gt;0,N45*100/L45,0)</f>
        <v>51.514085943100838</v>
      </c>
      <c r="P45" s="38">
        <f ca="1">IF(M45&gt;0,N45*100/M45,0)</f>
        <v>68.865797565862437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กาฬสินธุ์!L46+ขอนแก่น!L46+ชัยภูมิ!L46+นครพนม!L46+นครราชสีมา!L46+บึงกาฬ!L46+บุรีรัมย์!L46+มหาสารคาม!L46+มุกดาหาร!L46+ยโสธร!L46+ร้อยเอ็ด!L46+เลย!L46+ศรีสะเกษ!L46+สกลนคร!L46+สุรินทร์!L46+หนองคาย!L46+หนองบัวลำภู!L46+อำนาจเจริญ!L46+อุดรธานี!L46+อุบลราชธานี!L46</f>
        <v>16320100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กาฬสินธุ์!L47+ขอนแก่น!L47+ชัยภูมิ!L47+นครพนม!L47+นครราชสีมา!L47+บึงกาฬ!L47+บุรีรัมย์!L47+มหาสารคาม!L47+มุกดาหาร!L47+ยโสธร!L47+ร้อยเอ็ด!L47+เลย!L47+ศรีสะเกษ!L47+สกลนคร!L47+สุรินทร์!L47+หนองคาย!L47+หนองบัวลำภู!L47+อำนาจเจริญ!L47+อุดรธานี!L47+อุบลราชธานี!L47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52" t="s">
        <v>23</v>
      </c>
      <c r="E48" s="553"/>
      <c r="F48" s="89"/>
      <c r="G48" s="82" t="s">
        <v>18</v>
      </c>
      <c r="H48" s="83" t="s">
        <v>12</v>
      </c>
      <c r="I48" s="84"/>
      <c r="J48" s="84"/>
      <c r="K48" s="85"/>
      <c r="L48" s="50">
        <f>กาฬสินธุ์!L48+ขอนแก่น!L48+ชัยภูมิ!L48+นครพนม!L48+นครราชสีมา!L48+บึงกาฬ!L48+บุรีรัมย์!L48+มหาสารคาม!L48+มุกดาหาร!L48+ยโสธร!L48+ร้อยเอ็ด!L48+เลย!L48+ศรีสะเกษ!L48+สกลนคร!L48+สุรินทร์!L48+หนองคาย!L48+หนองบัวลำภู!L48+อำนาจเจริญ!L48+อุดรธานี!L48+อุบลราชธานี!L48</f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กาฬสินธุ์!L49+ขอนแก่น!L49+ชัยภูมิ!L49+นครพนม!L49+นครราชสีมา!L49+บึงกาฬ!L49+บุรีรัมย์!L49+มหาสารคาม!L49+มุกดาหาร!L49+ยโสธร!L49+ร้อยเอ็ด!L49+เลย!L49+ศรีสะเกษ!L49+สกลนคร!L49+สุรินทร์!L49+หนองคาย!L49+หนองบัวลำภู!L49+อำนาจเจริญ!L49+อุดรธานี!L49+อุบลราชธานี!L49</f>
        <v>8080309</v>
      </c>
      <c r="M49" s="49">
        <f ca="1">กาฬสินธุ์!M49+ขอนแก่น!M49+ชัยภูมิ!M49+นครพนม!M49+นครราชสีมา!M49+บึงกาฬ!M49+บุรีรัมย์!M49+มหาสารคาม!M49+มุกดาหาร!M49+ยโสธร!M49+ร้อยเอ็ด!M49+เลย!M49+ศรีสะเกษ!M49+สกลนคร!M49+สุรินทร์!M49+หนองคาย!M49+หนองบัวลำภู!M49+อำนาจเจริญ!M49+อุดรธานี!M49+อุบลราชธานี!M49</f>
        <v>8080309</v>
      </c>
      <c r="N49" s="49">
        <f ca="1">กาฬสินธุ์!N49+ขอนแก่น!N49+ชัยภูมิ!N49+นครพนม!N49+นครราชสีมา!N49+บึงกาฬ!N49+บุรีรัมย์!N49+มหาสารคาม!N49+มุกดาหาร!N49+ยโสธร!N49+ร้อยเอ็ด!N49+เลย!N49+ศรีสะเกษ!N49+สกลนคร!N49+สุรินทร์!N49+หนองคาย!N49+หนองบัวลำภู!N49+อำนาจเจริญ!N49+อุดรธานี!N49+อุบลราชธานี!N49</f>
        <v>8070309</v>
      </c>
      <c r="O49" s="49">
        <f ca="1">IF(L49&gt;0,N49*100/L49,0)</f>
        <v>99.876242356573243</v>
      </c>
      <c r="P49" s="49">
        <f ca="1">IF(M49&gt;0,N49*100/M49,0)</f>
        <v>99.876242356573243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76" t="s">
        <v>32</v>
      </c>
      <c r="C52" s="553"/>
      <c r="D52" s="553"/>
      <c r="E52" s="553"/>
      <c r="F52" s="553"/>
      <c r="G52" s="55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77" t="s">
        <v>17</v>
      </c>
      <c r="E53" s="553"/>
      <c r="F53" s="553"/>
      <c r="G53" s="553"/>
      <c r="H53" s="118" t="s">
        <v>12</v>
      </c>
      <c r="I53" s="119"/>
      <c r="J53" s="119"/>
      <c r="K53" s="120"/>
      <c r="L53" s="121">
        <f t="shared" ref="L53:N53" ca="1" si="38">L54+L55</f>
        <v>12748800</v>
      </c>
      <c r="M53" s="121">
        <f t="shared" ca="1" si="38"/>
        <v>9929536.8200000003</v>
      </c>
      <c r="N53" s="121">
        <f t="shared" ca="1" si="38"/>
        <v>7080928.3600000003</v>
      </c>
      <c r="O53" s="120">
        <f t="shared" ref="O53:O55" ca="1" si="39">IF(L53&gt;0,N53*100/L53,0)</f>
        <v>55.541920494477914</v>
      </c>
      <c r="P53" s="120">
        <f t="shared" ref="P53:P55" ca="1" si="40">IF(M53&gt;0,N53*100/M53,0)</f>
        <v>71.311769001527296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1">L56+L60</f>
        <v>0</v>
      </c>
      <c r="M54" s="121">
        <f t="shared" si="41"/>
        <v>0</v>
      </c>
      <c r="N54" s="121">
        <f t="shared" si="41"/>
        <v>0</v>
      </c>
      <c r="O54" s="120">
        <f t="shared" si="39"/>
        <v>0</v>
      </c>
      <c r="P54" s="120">
        <f t="shared" si="40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2">L57+L61</f>
        <v>12748800</v>
      </c>
      <c r="M55" s="121">
        <f t="shared" ca="1" si="42"/>
        <v>9929536.8200000003</v>
      </c>
      <c r="N55" s="121">
        <f t="shared" ca="1" si="42"/>
        <v>7080928.3600000003</v>
      </c>
      <c r="O55" s="120">
        <f t="shared" ca="1" si="39"/>
        <v>55.541920494477914</v>
      </c>
      <c r="P55" s="120">
        <f t="shared" ca="1" si="40"/>
        <v>71.311769001527296</v>
      </c>
    </row>
    <row r="56" spans="1:16" ht="21.75" customHeight="1" x14ac:dyDescent="0.45">
      <c r="A56" s="79"/>
      <c r="B56" s="80"/>
      <c r="C56" s="81" t="s">
        <v>16</v>
      </c>
      <c r="D56" s="552" t="s">
        <v>20</v>
      </c>
      <c r="E56" s="553"/>
      <c r="F56" s="553"/>
      <c r="G56" s="82" t="s">
        <v>18</v>
      </c>
      <c r="H56" s="83" t="s">
        <v>12</v>
      </c>
      <c r="I56" s="84"/>
      <c r="J56" s="84"/>
      <c r="K56" s="85"/>
      <c r="L56" s="88">
        <f>กาฬสินธุ์!L56+ขอนแก่น!L56+ชัยภูมิ!L56+นครพนม!L56+นครราชสีมา!L56+บึงกาฬ!L56+บุรีรัมย์!L56+มหาสารคาม!L56+มุกดาหาร!L56+ยโสธร!L56+ร้อยเอ็ด!L56+เลย!L56+ศรีสะเกษ!L56+สกลนคร!L56+สุรินทร์!L56+หนองคาย!L56+หนองบัวลำภู!L56+อำนาจเจริญ!L56+อุดรธานี!L56+อุบลราชธานี!L56</f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กาฬสินธุ์!L57+ขอนแก่น!L57+ชัยภูมิ!L57+นครพนม!L57+นครราชสีมา!L57+บึงกาฬ!L57+บุรีรัมย์!L57+มหาสารคาม!L57+มุกดาหาร!L57+ยโสธร!L57+ร้อยเอ็ด!L57+เลย!L57+ศรีสะเกษ!L57+สกลนคร!L57+สุรินทร์!L57+หนองคาย!L57+หนองบัวลำภู!L57+อำนาจเจริญ!L57+อุดรธานี!L57+อุบลราชธานี!L57</f>
        <v>12748800</v>
      </c>
      <c r="M57" s="49">
        <f ca="1">กาฬสินธุ์!M57+ขอนแก่น!M57+ชัยภูมิ!M57+นครพนม!M57+นครราชสีมา!M57+บึงกาฬ!M57+บุรีรัมย์!M57+มหาสารคาม!M57+มุกดาหาร!M57+ยโสธร!M57+ร้อยเอ็ด!M57+เลย!M57+ศรีสะเกษ!M57+สกลนคร!M57+สุรินทร์!M57+หนองคาย!M57+หนองบัวลำภู!M57+อำนาจเจริญ!M57+อุดรธานี!M57+อุบลราชธานี!M57</f>
        <v>9929536.8200000003</v>
      </c>
      <c r="N57" s="49">
        <f ca="1">กาฬสินธุ์!N57+ขอนแก่น!N57+ชัยภูมิ!N57+นครพนม!N57+นครราชสีมา!N57+บึงกาฬ!N57+บุรีรัมย์!N57+มหาสารคาม!N57+มุกดาหาร!N57+ยโสธร!N57+ร้อยเอ็ด!N57+เลย!N57+ศรีสะเกษ!N57+สกลนคร!N57+สุรินทร์!N57+หนองคาย!N57+หนองบัวลำภู!N57+อำนาจเจริญ!N57+อุดรธานี!N57+อุบลราชธานี!N57</f>
        <v>7080928.3600000003</v>
      </c>
      <c r="O57" s="38">
        <f ca="1">IF(L57&gt;0,N57*100/L57,0)</f>
        <v>55.541920494477914</v>
      </c>
      <c r="P57" s="38">
        <f ca="1">IF(M57&gt;0,N57*100/M57,0)</f>
        <v>71.311769001527296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กาฬสินธุ์!L58+ขอนแก่น!L58+ชัยภูมิ!L58+นครพนม!L58+นครราชสีมา!L58+บึงกาฬ!L58+บุรีรัมย์!L58+มหาสารคาม!L58+มุกดาหาร!L58+ยโสธร!L58+ร้อยเอ็ด!L58+เลย!L58+ศรีสะเกษ!L58+สกลนคร!L58+สุรินทร์!L58+หนองคาย!L58+หนองบัวลำภู!L58+อำนาจเจริญ!L58+อุดรธานี!L58+อุบลราชธานี!L58</f>
        <v>12748800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กาฬสินธุ์!L59+ขอนแก่น!L59+ชัยภูมิ!L59+นครพนม!L59+นครราชสีมา!L59+บึงกาฬ!L59+บุรีรัมย์!L59+มหาสารคาม!L59+มุกดาหาร!L59+ยโสธร!L59+ร้อยเอ็ด!L59+เลย!L59+ศรีสะเกษ!L59+สกลนคร!L59+สุรินทร์!L59+หนองคาย!L59+หนองบัวลำภู!L59+อำนาจเจริญ!L59+อุดรธานี!L59+อุบลราชธานี!L59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52" t="s">
        <v>23</v>
      </c>
      <c r="E60" s="553"/>
      <c r="F60" s="89"/>
      <c r="G60" s="82" t="s">
        <v>18</v>
      </c>
      <c r="H60" s="83" t="s">
        <v>12</v>
      </c>
      <c r="I60" s="84"/>
      <c r="J60" s="84"/>
      <c r="K60" s="85"/>
      <c r="L60" s="50">
        <f>กาฬสินธุ์!L60+ขอนแก่น!L60+ชัยภูมิ!L60+นครพนม!L60+นครราชสีมา!L60+บึงกาฬ!L60+บุรีรัมย์!L60+มหาสารคาม!L60+มุกดาหาร!L60+ยโสธร!L60+ร้อยเอ็ด!L60+เลย!L60+ศรีสะเกษ!L60+สกลนคร!L60+สุรินทร์!L60+หนองคาย!L60+หนองบัวลำภู!L60+อำนาจเจริญ!L60+อุดรธานี!L60+อุบลราชธานี!L60</f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กาฬสินธุ์!L61+ขอนแก่น!L61+ชัยภูมิ!L61+นครพนม!L61+นครราชสีมา!L61+บึงกาฬ!L61+บุรีรัมย์!L61+มหาสารคาม!L61+มุกดาหาร!L61+ยโสธร!L61+ร้อยเอ็ด!L61+เลย!L61+ศรีสะเกษ!L61+สกลนคร!L61+สุรินทร์!L61+หนองคาย!L61+หนองบัวลำภู!L61+อำนาจเจริญ!L61+อุดรธานี!L61+อุบลราชธานี!L61</f>
        <v>0</v>
      </c>
      <c r="M61" s="49"/>
      <c r="N61" s="49">
        <f ca="1">กาฬสินธุ์!N61+ขอนแก่น!N61+ชัยภูมิ!N61+นครพนม!N61+นครราชสีมา!N61+บึงกาฬ!N61+บุรีรัมย์!N61+มหาสารคาม!N61+มุกดาหาร!N61+ยโสธร!N61+ร้อยเอ็ด!N61+เลย!N61+ศรีสะเกษ!N61+สกลนคร!N61+สุรินทร์!N61+หนองคาย!N61+หนองบัวลำภู!N61+อำนาจเจริญ!N61+อุดรธานี!N61+อุบลราชธานี!N61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กาฬสินธุ์!I64+ขอนแก่น!I64+ชัยภูมิ!I64+นครพนม!I64+นครราชสีมา!I64+บึงกาฬ!I64+บุรีรัมย์!I64+มหาสารคาม!I64+มุกดาหาร!I64+ยโสธร!I64+ร้อยเอ็ด!I64+เลย!I64+ศรีสะเกษ!I64+สกลนคร!I64+สุรินทร์!I64+หนองคาย!I64+หนองบัวลำภู!I64+อำนาจเจริญ!I64+อุดรธานี!I64+อุบลราชธานี!I64</f>
        <v>15</v>
      </c>
      <c r="J64" s="142">
        <f ca="1">กาฬสินธุ์!J64+ขอนแก่น!J64+ชัยภูมิ!J64+นครพนม!J64+นครราชสีมา!J64+บึงกาฬ!J64+บุรีรัมย์!J64+มหาสารคาม!J64+มุกดาหาร!J64+ยโสธร!J64+ร้อยเอ็ด!J64+เลย!J64+ศรีสะเกษ!J64+สกลนคร!J64+สุรินทร์!J64+หนองคาย!J64+หนองบัวลำภู!J64+อำนาจเจริญ!J64+อุดรธานี!J64+อุบลราชธานี!J64</f>
        <v>15</v>
      </c>
      <c r="K64" s="143">
        <f t="shared" ref="K64:K65" ca="1" si="43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กาฬสินธุ์!I65+ขอนแก่น!I65+ชัยภูมิ!I65+นครพนม!I65+นครราชสีมา!I65+บึงกาฬ!I65+บุรีรัมย์!I65+มหาสารคาม!I65+มุกดาหาร!I65+ยโสธร!I65+ร้อยเอ็ด!I65+เลย!I65+ศรีสะเกษ!I65+สกลนคร!I65+สุรินทร์!I65+หนองคาย!I65+หนองบัวลำภู!I65+อำนาจเจริญ!I65+อุดรธานี!I65+อุบลราชธานี!I65</f>
        <v>693</v>
      </c>
      <c r="J65" s="142">
        <f ca="1">กาฬสินธุ์!J65+ขอนแก่น!J65+ชัยภูมิ!J65+นครพนม!J65+นครราชสีมา!J65+บึงกาฬ!J65+บุรีรัมย์!J65+มหาสารคาม!J65+มุกดาหาร!J65+ยโสธร!J65+ร้อยเอ็ด!J65+เลย!J65+ศรีสะเกษ!J65+สกลนคร!J65+สุรินทร์!J65+หนองคาย!J65+หนองบัวลำภู!J65+อำนาจเจริญ!J65+อุดรธานี!J65+อุบลราชธานี!J65</f>
        <v>693</v>
      </c>
      <c r="K65" s="143">
        <f t="shared" ca="1" si="43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54" t="s">
        <v>17</v>
      </c>
      <c r="E66" s="555"/>
      <c r="F66" s="555"/>
      <c r="G66" s="555"/>
      <c r="H66" s="149" t="s">
        <v>12</v>
      </c>
      <c r="I66" s="150"/>
      <c r="J66" s="150"/>
      <c r="K66" s="151"/>
      <c r="L66" s="152">
        <f ca="1">กาฬสินธุ์!L66+ขอนแก่น!L66+ชัยภูมิ!L66+นครพนม!L66+นครราชสีมา!L66+บึงกาฬ!L66+บุรีรัมย์!L66+มหาสารคาม!L66+มุกดาหาร!L66+ยโสธร!L66+ร้อยเอ็ด!L66+เลย!L66+ศรีสะเกษ!L66+สกลนคร!L66+สุรินทร์!L66+หนองคาย!L66+หนองบัวลำภู!L66+อำนาจเจริญ!L66+อุดรธานี!L66+อุบลราชธานี!L66</f>
        <v>10880900</v>
      </c>
      <c r="M66" s="152">
        <f ca="1">กาฬสินธุ์!M66+ขอนแก่น!M66+ชัยภูมิ!M66+นครพนม!M66+นครราชสีมา!M66+บึงกาฬ!M66+บุรีรัมย์!M66+มหาสารคาม!M66+มุกดาหาร!M66+ยโสธร!M66+ร้อยเอ็ด!M66+เลย!M66+ศรีสะเกษ!M66+สกลนคร!M66+สุรินทร์!M66+หนองคาย!M66+หนองบัวลำภู!M66+อำนาจเจริญ!M66+อุดรธานี!M66+อุบลราชธานี!M66</f>
        <v>9016720</v>
      </c>
      <c r="N66" s="152">
        <f ca="1">กาฬสินธุ์!N66+ขอนแก่น!N66+ชัยภูมิ!N66+นครพนม!N66+นครราชสีมา!N66+บึงกาฬ!N66+บุรีรัมย์!N66+มหาสารคาม!N66+มุกดาหาร!N66+ยโสธร!N66+ร้อยเอ็ด!N66+เลย!N66+ศรีสะเกษ!N66+สกลนคร!N66+สุรินทร์!N66+หนองคาย!N66+หนองบัวลำภู!N66+อำนาจเจริญ!N66+อุดรธานี!N66+อุบลราชธานี!N66</f>
        <v>5281265.3100000005</v>
      </c>
      <c r="O66" s="151">
        <f t="shared" ref="O66:O68" ca="1" si="44">IF(L66&gt;0,N66*100/L66,0)</f>
        <v>48.53702644082751</v>
      </c>
      <c r="P66" s="151">
        <f t="shared" ref="P66:P68" ca="1" si="45">IF(M66&gt;0,N66*100/M66,0)</f>
        <v>58.571912070021035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>กาฬสินธุ์!L67+ขอนแก่น!L67+ชัยภูมิ!L67+นครพนม!L67+นครราชสีมา!L67+บึงกาฬ!L67+บุรีรัมย์!L67+มหาสารคาม!L67+มุกดาหาร!L67+ยโสธร!L67+ร้อยเอ็ด!L67+เลย!L67+ศรีสะเกษ!L67+สกลนคร!L67+สุรินทร์!L67+หนองคาย!L67+หนองบัวลำภู!L67+อำนาจเจริญ!L67+อุดรธานี!L67+อุบลราชธานี!L67</f>
        <v>0</v>
      </c>
      <c r="M67" s="157">
        <f>กาฬสินธุ์!M67+ขอนแก่น!M67+ชัยภูมิ!M67+นครพนม!M67+นครราชสีมา!M67+บึงกาฬ!M67+บุรีรัมย์!M67+มหาสารคาม!M67+มุกดาหาร!M67+ยโสธร!M67+ร้อยเอ็ด!M67+เลย!M67+ศรีสะเกษ!M67+สกลนคร!M67+สุรินทร์!M67+หนองคาย!M67+หนองบัวลำภู!M67+อำนาจเจริญ!M67+อุดรธานี!M67+อุบลราชธานี!M67</f>
        <v>0</v>
      </c>
      <c r="N67" s="157">
        <f>กาฬสินธุ์!N67+ขอนแก่น!N67+ชัยภูมิ!N67+นครพนม!N67+นครราชสีมา!N67+บึงกาฬ!N67+บุรีรัมย์!N67+มหาสารคาม!N67+มุกดาหาร!N67+ยโสธร!N67+ร้อยเอ็ด!N67+เลย!N67+ศรีสะเกษ!N67+สกลนคร!N67+สุรินทร์!N67+หนองคาย!N67+หนองบัวลำภู!N67+อำนาจเจริญ!N67+อุดรธานี!N67+อุบลราชธานี!N67</f>
        <v>0</v>
      </c>
      <c r="O67" s="156">
        <f t="shared" si="44"/>
        <v>0</v>
      </c>
      <c r="P67" s="156">
        <f t="shared" si="45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ca="1">กาฬสินธุ์!L68+ขอนแก่น!L68+ชัยภูมิ!L68+นครพนม!L68+นครราชสีมา!L68+บึงกาฬ!L68+บุรีรัมย์!L68+มหาสารคาม!L68+มุกดาหาร!L68+ยโสธร!L68+ร้อยเอ็ด!L68+เลย!L68+ศรีสะเกษ!L68+สกลนคร!L68+สุรินทร์!L68+หนองคาย!L68+หนองบัวลำภู!L68+อำนาจเจริญ!L68+อุดรธานี!L68+อุบลราชธานี!L68</f>
        <v>10880900</v>
      </c>
      <c r="M68" s="157">
        <f ca="1">กาฬสินธุ์!M68+ขอนแก่น!M68+ชัยภูมิ!M68+นครพนม!M68+นครราชสีมา!M68+บึงกาฬ!M68+บุรีรัมย์!M68+มหาสารคาม!M68+มุกดาหาร!M68+ยโสธร!M68+ร้อยเอ็ด!M68+เลย!M68+ศรีสะเกษ!M68+สกลนคร!M68+สุรินทร์!M68+หนองคาย!M68+หนองบัวลำภู!M68+อำนาจเจริญ!M68+อุดรธานี!M68+อุบลราชธานี!M68</f>
        <v>9016720</v>
      </c>
      <c r="N68" s="157">
        <f ca="1">กาฬสินธุ์!N68+ขอนแก่น!N68+ชัยภูมิ!N68+นครพนม!N68+นครราชสีมา!N68+บึงกาฬ!N68+บุรีรัมย์!N68+มหาสารคาม!N68+มุกดาหาร!N68+ยโสธร!N68+ร้อยเอ็ด!N68+เลย!N68+ศรีสะเกษ!N68+สกลนคร!N68+สุรินทร์!N68+หนองคาย!N68+หนองบัวลำภู!N68+อำนาจเจริญ!N68+อุดรธานี!N68+อุบลราชธานี!N68</f>
        <v>5281265.3100000005</v>
      </c>
      <c r="O68" s="156">
        <f t="shared" ca="1" si="44"/>
        <v>48.53702644082751</v>
      </c>
      <c r="P68" s="156">
        <f t="shared" ca="1" si="45"/>
        <v>58.571912070021035</v>
      </c>
    </row>
    <row r="69" spans="1:16" ht="21.75" customHeight="1" x14ac:dyDescent="0.45">
      <c r="A69" s="158"/>
      <c r="B69" s="159"/>
      <c r="C69" s="159" t="s">
        <v>16</v>
      </c>
      <c r="D69" s="552" t="s">
        <v>20</v>
      </c>
      <c r="E69" s="553"/>
      <c r="F69" s="553"/>
      <c r="G69" s="160" t="s">
        <v>38</v>
      </c>
      <c r="H69" s="161" t="s">
        <v>12</v>
      </c>
      <c r="I69" s="162" t="s">
        <v>39</v>
      </c>
      <c r="J69" s="162"/>
      <c r="K69" s="163"/>
      <c r="L69" s="164">
        <f>กาฬสินธุ์!L69+ขอนแก่น!L69+ชัยภูมิ!L69+นครพนม!L69+นครราชสีมา!L69+บึงกาฬ!L69+บุรีรัมย์!L69+มหาสารคาม!L69+มุกดาหาร!L69+ยโสธร!L69+ร้อยเอ็ด!L69+เลย!L69+ศรีสะเกษ!L69+สกลนคร!L69+สุรินทร์!L69+หนองคาย!L69+หนองบัวลำภู!L69+อำนาจเจริญ!L69+อุดรธานี!L69+อุบลราชธานี!L69</f>
        <v>0</v>
      </c>
      <c r="M69" s="164">
        <f>กาฬสินธุ์!M69+ขอนแก่น!M69+ชัยภูมิ!M69+นครพนม!M69+นครราชสีมา!M69+บึงกาฬ!M69+บุรีรัมย์!M69+มหาสารคาม!M69+มุกดาหาร!M69+ยโสธร!M69+ร้อยเอ็ด!M69+เลย!M69+ศรีสะเกษ!M69+สกลนคร!M69+สุรินทร์!M69+หนองคาย!M69+หนองบัวลำภู!M69+อำนาจเจริญ!M69+อุดรธานี!M69+อุบลราชธานี!M69</f>
        <v>0</v>
      </c>
      <c r="N69" s="164">
        <f>กาฬสินธุ์!N69+ขอนแก่น!N69+ชัยภูมิ!N69+นครพนม!N69+นครราชสีมา!N69+บึงกาฬ!N69+บุรีรัมย์!N69+มหาสารคาม!N69+มุกดาหาร!N69+ยโสธร!N69+ร้อยเอ็ด!N69+เลย!N69+ศรีสะเกษ!N69+สกลนคร!N69+สุรินทร์!N69+หนองคาย!N69+หนองบัวลำภู!N69+อำนาจเจริญ!N69+อุดรธานี!N69+อุบลราชธานี!N69</f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กาฬสินธุ์!L70+ขอนแก่น!L70+ชัยภูมิ!L70+นครพนม!L70+นครราชสีมา!L70+บึงกาฬ!L70+บุรีรัมย์!L70+มหาสารคาม!L70+มุกดาหาร!L70+ยโสธร!L70+ร้อยเอ็ด!L70+เลย!L70+ศรีสะเกษ!L70+สกลนคร!L70+สุรินทร์!L70+หนองคาย!L70+หนองบัวลำภู!L70+อำนาจเจริญ!L70+อุดรธานี!L70+อุบลราชธานี!L70</f>
        <v>10695900</v>
      </c>
      <c r="M70" s="168">
        <f ca="1">กาฬสินธุ์!M70+ขอนแก่น!M70+ชัยภูมิ!M70+นครพนม!M70+นครราชสีมา!M70+บึงกาฬ!M70+บุรีรัมย์!M70+มหาสารคาม!M70+มุกดาหาร!M70+ยโสธร!M70+ร้อยเอ็ด!M70+เลย!M70+ศรีสะเกษ!M70+สกลนคร!M70+สุรินทร์!M70+หนองคาย!M70+หนองบัวลำภู!M70+อำนาจเจริญ!M70+อุดรธานี!M70+อุบลราชธานี!M70</f>
        <v>8831720</v>
      </c>
      <c r="N70" s="169">
        <f ca="1">กาฬสินธุ์!N70+ขอนแก่น!N70+ชัยภูมิ!N70+นครพนม!N70+นครราชสีมา!N70+บึงกาฬ!N70+บุรีรัมย์!N70+มหาสารคาม!N70+มุกดาหาร!N70+ยโสธร!N70+ร้อยเอ็ด!N70+เลย!N70+ศรีสะเกษ!N70+สกลนคร!N70+สุรินทร์!N70+หนองคาย!N70+หนองบัวลำภู!N70+อำนาจเจริญ!N70+อุดรธานี!N70+อุบลราชธานี!N70</f>
        <v>5096265.3100000005</v>
      </c>
      <c r="O70" s="169">
        <f ca="1">IF(L70&gt;0,N70*100/L70,0)</f>
        <v>47.646904982282933</v>
      </c>
      <c r="P70" s="169">
        <f ca="1">IF(M70&gt;0,N70*100/M70,0)</f>
        <v>57.704108712685645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กาฬสินธุ์!L71+ขอนแก่น!L71+ชัยภูมิ!L71+นครพนม!L71+นครราชสีมา!L71+บึงกาฬ!L71+บุรีรัมย์!L71+มหาสารคาม!L71+มุกดาหาร!L71+ยโสธร!L71+ร้อยเอ็ด!L71+เลย!L71+ศรีสะเกษ!L71+สกลนคร!L71+สุรินทร์!L71+หนองคาย!L71+หนองบัวลำภู!L71+อำนาจเจริญ!L71+อุดรธานี!L71+อุบลราชธานี!L71</f>
        <v>4014300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กาฬสินธุ์!L72+ขอนแก่น!L72+ชัยภูมิ!L72+นครพนม!L72+นครราชสีมา!L72+บึงกาฬ!L72+บุรีรัมย์!L72+มหาสารคาม!L72+มุกดาหาร!L72+ยโสธร!L72+ร้อยเอ็ด!L72+เลย!L72+ศรีสะเกษ!L72+สกลนคร!L72+สุรินทร์!L72+หนองคาย!L72+หนองบัวลำภู!L72+อำนาจเจริญ!L72+อุดรธานี!L72+อุบลราชธานี!L72</f>
        <v>6681600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52" t="s">
        <v>23</v>
      </c>
      <c r="E73" s="553"/>
      <c r="F73" s="89"/>
      <c r="G73" s="82" t="s">
        <v>18</v>
      </c>
      <c r="H73" s="172" t="s">
        <v>12</v>
      </c>
      <c r="I73" s="84"/>
      <c r="J73" s="84"/>
      <c r="K73" s="85"/>
      <c r="L73" s="41">
        <f>กาฬสินธุ์!L73+ขอนแก่น!L73+ชัยภูมิ!L73+นครพนม!L73+นครราชสีมา!L73+บึงกาฬ!L73+บุรีรัมย์!L73+มหาสารคาม!L73+มุกดาหาร!L73+ยโสธร!L73+ร้อยเอ็ด!L73+เลย!L73+ศรีสะเกษ!L73+สกลนคร!L73+สุรินทร์!L73+หนองคาย!L73+หนองบัวลำภู!L73+อำนาจเจริญ!L73+อุดรธานี!L73+อุบลราชธานี!L73</f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กาฬสินธุ์!L74+ขอนแก่น!L74+ชัยภูมิ!L74+นครพนม!L74+นครราชสีมา!L74+บึงกาฬ!L74+บุรีรัมย์!L74+มหาสารคาม!L74+มุกดาหาร!L74+ยโสธร!L74+ร้อยเอ็ด!L74+เลย!L74+ศรีสะเกษ!L74+สกลนคร!L74+สุรินทร์!L74+หนองคาย!L74+หนองบัวลำภู!L74+อำนาจเจริญ!L74+อุดรธานี!L74+อุบลราชธานี!L74</f>
        <v>185000</v>
      </c>
      <c r="M74" s="49">
        <f ca="1">กาฬสินธุ์!M74+ขอนแก่น!M74+ชัยภูมิ!M74+นครพนม!M74+นครราชสีมา!M74+บึงกาฬ!M74+บุรีรัมย์!M74+มหาสารคาม!M74+มุกดาหาร!M74+ยโสธร!M74+ร้อยเอ็ด!M74+เลย!M74+ศรีสะเกษ!M74+สกลนคร!M74+สุรินทร์!M74+หนองคาย!M74+หนองบัวลำภู!M74+อำนาจเจริญ!M74+อุดรธานี!M74+อุบลราชธานี!M74</f>
        <v>185000</v>
      </c>
      <c r="N74" s="49">
        <f ca="1">กาฬสินธุ์!N74+ขอนแก่น!N74+ชัยภูมิ!N74+นครพนม!N74+นครราชสีมา!N74+บึงกาฬ!N74+บุรีรัมย์!N74+มหาสารคาม!N74+มุกดาหาร!N74+ยโสธร!N74+ร้อยเอ็ด!N74+เลย!N74+ศรีสะเกษ!N74+สกลนคร!N74+สุรินทร์!N74+หนองคาย!N74+หนองบัวลำภู!N74+อำนาจเจริญ!N74+อุดรธานี!N74+อุบลราชธานี!N74</f>
        <v>185000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กาฬสินธุ์!J76+ขอนแก่น!J76+ชัยภูมิ!J76+นครพนม!J76+นครราชสีมา!J76+บึงกาฬ!J76+บุรีรัมย์!J76+มหาสารคาม!J76+มุกดาหาร!J76+ยโสธร!J76+ร้อยเอ็ด!J76+เลย!J76+ศรีสะเกษ!J76+สกลนคร!J76+สุรินทร์!J76+หนองคาย!J76+หนองบัวลำภู!J76+อำนาจเจริญ!J76+อุดรธานี!J76+อุบลราชธานี!J76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กาฬสินธุ์!J77+ขอนแก่น!J77+ชัยภูมิ!J77+นครพนม!J77+นครราชสีมา!J77+บึงกาฬ!J77+บุรีรัมย์!J77+มหาสารคาม!J77+มุกดาหาร!J77+ยโสธร!J77+ร้อยเอ็ด!J77+เลย!J77+ศรีสะเกษ!J77+สกลนคร!J77+สุรินทร์!J77+หนองคาย!J77+หนองบัวลำภู!J77+อำนาจเจริญ!J77+อุดรธานี!J77+อุบลราชธานี!J77</f>
        <v>13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กาฬสินธุ์!J78+ขอนแก่น!J78+ชัยภูมิ!J78+นครพนม!J78+นครราชสีมา!J78+บึงกาฬ!J78+บุรีรัมย์!J78+มหาสารคาม!J78+มุกดาหาร!J78+ยโสธร!J78+ร้อยเอ็ด!J78+เลย!J78+ศรีสะเกษ!J78+สกลนคร!J78+สุรินทร์!J78+หนองคาย!J78+หนองบัวลำภู!J78+อำนาจเจริญ!J78+อุดรธานี!J78+อุบลราชธานี!J78</f>
        <v>13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กาฬสินธุ์!J79+ขอนแก่น!J79+ชัยภูมิ!J79+นครพนม!J79+นครราชสีมา!J79+บึงกาฬ!J79+บุรีรัมย์!J79+มหาสารคาม!J79+มุกดาหาร!J79+ยโสธร!J79+ร้อยเอ็ด!J79+เลย!J79+ศรีสะเกษ!J79+สกลนคร!J79+สุรินทร์!J79+หนองคาย!J79+หนองบัวลำภู!J79+อำนาจเจริญ!J79+อุดรธานี!J79+อุบลราชธานี!J79</f>
        <v>13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กาฬสินธุ์!I80+ขอนแก่น!I80+ชัยภูมิ!I80+นครพนม!I80+นครราชสีมา!I80+บึงกาฬ!I80+บุรีรัมย์!I80+มหาสารคาม!I80+มุกดาหาร!I80+ยโสธร!I80+ร้อยเอ็ด!I80+เลย!I80+ศรีสะเกษ!I80+สกลนคร!I80+สุรินทร์!I80+หนองคาย!I80+หนองบัวลำภู!I80+อำนาจเจริญ!I80+อุดรธานี!I80+อุบลราชธานี!I80</f>
        <v>15</v>
      </c>
      <c r="J80" s="201">
        <f ca="1">กาฬสินธุ์!J80+ขอนแก่น!J80+ชัยภูมิ!J80+นครพนม!J80+นครราชสีมา!J80+บึงกาฬ!J80+บุรีรัมย์!J80+มหาสารคาม!J80+มุกดาหาร!J80+ยโสธร!J80+ร้อยเอ็ด!J80+เลย!J80+ศรีสะเกษ!J80+สกลนคร!J80+สุรินทร์!J80+หนองคาย!J80+หนองบัวลำภู!J80+อำนาจเจริญ!J80+อุดรธานี!J80+อุบลราชธานี!J80</f>
        <v>15</v>
      </c>
      <c r="K80" s="202">
        <f t="shared" ref="K80:K88" ca="1" si="46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กาฬสินธุ์!I81+ขอนแก่น!I81+ชัยภูมิ!I81+นครพนม!I81+นครราชสีมา!I81+บึงกาฬ!I81+บุรีรัมย์!I81+มหาสารคาม!I81+มุกดาหาร!I81+ยโสธร!I81+ร้อยเอ็ด!I81+เลย!I81+ศรีสะเกษ!I81+สกลนคร!I81+สุรินทร์!I81+หนองคาย!I81+หนองบัวลำภู!I81+อำนาจเจริญ!I81+อุดรธานี!I81+อุบลราชธานี!I81</f>
        <v>693</v>
      </c>
      <c r="J81" s="201">
        <f ca="1">กาฬสินธุ์!J81+ขอนแก่น!J81+ชัยภูมิ!J81+นครพนม!J81+นครราชสีมา!J81+บึงกาฬ!J81+บุรีรัมย์!J81+มหาสารคาม!J81+มุกดาหาร!J81+ยโสธร!J81+ร้อยเอ็ด!J81+เลย!J81+ศรีสะเกษ!J81+สกลนคร!J81+สุรินทร์!J81+หนองคาย!J81+หนองบัวลำภู!J81+อำนาจเจริญ!J81+อุดรธานี!J81+อุบลราชธานี!J81</f>
        <v>693</v>
      </c>
      <c r="K81" s="202">
        <f t="shared" ca="1" si="46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กาฬสินธุ์!I82+ขอนแก่น!I82+ชัยภูมิ!I82+นครพนม!I82+นครราชสีมา!I82+บึงกาฬ!I82+บุรีรัมย์!I82+มหาสารคาม!I82+มุกดาหาร!I82+ยโสธร!I82+ร้อยเอ็ด!I82+เลย!I82+ศรีสะเกษ!I82+สกลนคร!I82+สุรินทร์!I82+หนองคาย!I82+หนองบัวลำภู!I82+อำนาจเจริญ!I82+อุดรธานี!I82+อุบลราชธานี!I82</f>
        <v>6</v>
      </c>
      <c r="J82" s="204">
        <f ca="1">กาฬสินธุ์!J82+ขอนแก่น!J82+ชัยภูมิ!J82+นครพนม!J82+นครราชสีมา!J82+บึงกาฬ!J82+บุรีรัมย์!J82+มหาสารคาม!J82+มุกดาหาร!J82+ยโสธร!J82+ร้อยเอ็ด!J82+เลย!J82+ศรีสะเกษ!J82+สกลนคร!J82+สุรินทร์!J82+หนองคาย!J82+หนองบัวลำภู!J82+อำนาจเจริญ!J82+อุดรธานี!J82+อุบลราชธานี!J82</f>
        <v>6</v>
      </c>
      <c r="K82" s="163">
        <f t="shared" ca="1" si="46"/>
        <v>100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กาฬสินธุ์!I83+ขอนแก่น!I83+ชัยภูมิ!I83+นครพนม!I83+นครราชสีมา!I83+บึงกาฬ!I83+บุรีรัมย์!I83+มหาสารคาม!I83+มุกดาหาร!I83+ยโสธร!I83+ร้อยเอ็ด!I83+เลย!I83+ศรีสะเกษ!I83+สกลนคร!I83+สุรินทร์!I83+หนองคาย!I83+หนองบัวลำภู!I83+อำนาจเจริญ!I83+อุดรธานี!I83+อุบลราชธานี!I83</f>
        <v>270</v>
      </c>
      <c r="J83" s="204">
        <f ca="1">กาฬสินธุ์!J83+ขอนแก่น!J83+ชัยภูมิ!J83+นครพนม!J83+นครราชสีมา!J83+บึงกาฬ!J83+บุรีรัมย์!J83+มหาสารคาม!J83+มุกดาหาร!J83+ยโสธร!J83+ร้อยเอ็ด!J83+เลย!J83+ศรีสะเกษ!J83+สกลนคร!J83+สุรินทร์!J83+หนองคาย!J83+หนองบัวลำภู!J83+อำนาจเจริญ!J83+อุดรธานี!J83+อุบลราชธานี!J83</f>
        <v>270</v>
      </c>
      <c r="K83" s="163">
        <f t="shared" ca="1" si="46"/>
        <v>100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กาฬสินธุ์!I84+ขอนแก่น!I84+ชัยภูมิ!I84+นครพนม!I84+นครราชสีมา!I84+บึงกาฬ!I84+บุรีรัมย์!I84+มหาสารคาม!I84+มุกดาหาร!I84+ยโสธร!I84+ร้อยเอ็ด!I84+เลย!I84+ศรีสะเกษ!I84+สกลนคร!I84+สุรินทร์!I84+หนองคาย!I84+หนองบัวลำภู!I84+อำนาจเจริญ!I84+อุดรธานี!I84+อุบลราชธานี!I84</f>
        <v>8</v>
      </c>
      <c r="J84" s="189">
        <f ca="1">กาฬสินธุ์!J84+ขอนแก่น!J84+ชัยภูมิ!J84+นครพนม!J84+นครราชสีมา!J84+บึงกาฬ!J84+บุรีรัมย์!J84+มหาสารคาม!J84+มุกดาหาร!J84+ยโสธร!J84+ร้อยเอ็ด!J84+เลย!J84+ศรีสะเกษ!J84+สกลนคร!J84+สุรินทร์!J84+หนองคาย!J84+หนองบัวลำภู!J84+อำนาจเจริญ!J84+อุดรธานี!J84+อุบลราชธานี!J84</f>
        <v>8</v>
      </c>
      <c r="K84" s="163">
        <f t="shared" ca="1" si="46"/>
        <v>100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กาฬสินธุ์!I85+ขอนแก่น!I85+ชัยภูมิ!I85+นครพนม!I85+นครราชสีมา!I85+บึงกาฬ!I85+บุรีรัมย์!I85+มหาสารคาม!I85+มุกดาหาร!I85+ยโสธร!I85+ร้อยเอ็ด!I85+เลย!I85+ศรีสะเกษ!I85+สกลนคร!I85+สุรินทร์!I85+หนองคาย!I85+หนองบัวลำภู!I85+อำนาจเจริญ!I85+อุดรธานี!I85+อุบลราชธานี!I85</f>
        <v>373</v>
      </c>
      <c r="J85" s="189">
        <f ca="1">กาฬสินธุ์!J85+ขอนแก่น!J85+ชัยภูมิ!J85+นครพนม!J85+นครราชสีมา!J85+บึงกาฬ!J85+บุรีรัมย์!J85+มหาสารคาม!J85+มุกดาหาร!J85+ยโสธร!J85+ร้อยเอ็ด!J85+เลย!J85+ศรีสะเกษ!J85+สกลนคร!J85+สุรินทร์!J85+หนองคาย!J85+หนองบัวลำภู!J85+อำนาจเจริญ!J85+อุดรธานี!J85+อุบลราชธานี!J85</f>
        <v>373</v>
      </c>
      <c r="K85" s="163">
        <f t="shared" ca="1" si="46"/>
        <v>100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กาฬสินธุ์!I86+ขอนแก่น!I86+ชัยภูมิ!I86+นครพนม!I86+นครราชสีมา!I86+บึงกาฬ!I86+บุรีรัมย์!I86+มหาสารคาม!I86+มุกดาหาร!I86+ยโสธร!I86+ร้อยเอ็ด!I86+เลย!I86+ศรีสะเกษ!I86+สกลนคร!I86+สุรินทร์!I86+หนองคาย!I86+หนองบัวลำภู!I86+อำนาจเจริญ!I86+อุดรธานี!I86+อุบลราชธานี!I86</f>
        <v>1</v>
      </c>
      <c r="J86" s="204">
        <f ca="1">กาฬสินธุ์!J86+ขอนแก่น!J86+ชัยภูมิ!J86+นครพนม!J86+นครราชสีมา!J86+บึงกาฬ!J86+บุรีรัมย์!J86+มหาสารคาม!J86+มุกดาหาร!J86+ยโสธร!J86+ร้อยเอ็ด!J86+เลย!J86+ศรีสะเกษ!J86+สกลนคร!J86+สุรินทร์!J86+หนองคาย!J86+หนองบัวลำภู!J86+อำนาจเจริญ!J86+อุดรธานี!J86+อุบลราชธานี!J86</f>
        <v>1</v>
      </c>
      <c r="K86" s="163">
        <f t="shared" ca="1" si="46"/>
        <v>100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กาฬสินธุ์!I87+ขอนแก่น!I87+ชัยภูมิ!I87+นครพนม!I87+นครราชสีมา!I87+บึงกาฬ!I87+บุรีรัมย์!I87+มหาสารคาม!I87+มุกดาหาร!I87+ยโสธร!I87+ร้อยเอ็ด!I87+เลย!I87+ศรีสะเกษ!I87+สกลนคร!I87+สุรินทร์!I87+หนองคาย!I87+หนองบัวลำภู!I87+อำนาจเจริญ!I87+อุดรธานี!I87+อุบลราชธานี!I87</f>
        <v>50</v>
      </c>
      <c r="J87" s="204">
        <f ca="1">กาฬสินธุ์!J87+ขอนแก่น!J87+ชัยภูมิ!J87+นครพนม!J87+นครราชสีมา!J87+บึงกาฬ!J87+บุรีรัมย์!J87+มหาสารคาม!J87+มุกดาหาร!J87+ยโสธร!J87+ร้อยเอ็ด!J87+เลย!J87+ศรีสะเกษ!J87+สกลนคร!J87+สุรินทร์!J87+หนองคาย!J87+หนองบัวลำภู!J87+อำนาจเจริญ!J87+อุดรธานี!J87+อุบลราชธานี!J87</f>
        <v>50</v>
      </c>
      <c r="K87" s="163">
        <f t="shared" ca="1" si="46"/>
        <v>100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กาฬสินธุ์!I88+ขอนแก่น!I88+ชัยภูมิ!I88+นครพนม!I88+นครราชสีมา!I88+บึงกาฬ!I88+บุรีรัมย์!I88+มหาสารคาม!I88+มุกดาหาร!I88+ยโสธร!I88+ร้อยเอ็ด!I88+เลย!I88+ศรีสะเกษ!I88+สกลนคร!I88+สุรินทร์!I88+หนองคาย!I88+หนองบัวลำภู!I88+อำนาจเจริญ!I88+อุดรธานี!I88+อุบลราชธานี!I88</f>
        <v>270</v>
      </c>
      <c r="J88" s="204">
        <f ca="1">กาฬสินธุ์!J88+ขอนแก่น!J88+ชัยภูมิ!J88+นครพนม!J88+นครราชสีมา!J88+บึงกาฬ!J88+บุรีรัมย์!J88+มหาสารคาม!J88+มุกดาหาร!J88+ยโสธร!J88+ร้อยเอ็ด!J88+เลย!J88+ศรีสะเกษ!J88+สกลนคร!J88+สุรินทร์!J88+หนองคาย!J88+หนองบัวลำภู!J88+อำนาจเจริญ!J88+อุดรธานี!J88+อุบลราชธานี!J88</f>
        <v>195</v>
      </c>
      <c r="K88" s="163">
        <f t="shared" ca="1" si="46"/>
        <v>72.222222222222229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กาฬสินธุ์!J89+ขอนแก่น!J89+ชัยภูมิ!J89+นครพนม!J89+นครราชสีมา!J89+บึงกาฬ!J89+บุรีรัมย์!J89+มหาสารคาม!J89+มุกดาหาร!J89+ยโสธร!J89+ร้อยเอ็ด!J89+เลย!J89+ศรีสะเกษ!J89+สกลนคร!J89+สุรินทร์!J89+หนองคาย!J89+หนองบัวลำภู!J89+อำนาจเจริญ!J89+อุดรธานี!J89+อุบลราชธานี!J89</f>
        <v>1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กาฬสินธุ์!J90+ขอนแก่น!J90+ชัยภูมิ!J90+นครพนม!J90+นครราชสีมา!J90+บึงกาฬ!J90+บุรีรัมย์!J90+มหาสารคาม!J90+มุกดาหาร!J90+ยโสธร!J90+ร้อยเอ็ด!J90+เลย!J90+ศรีสะเกษ!J90+สกลนคร!J90+สุรินทร์!J90+หนองคาย!J90+หนองบัวลำภู!J90+อำนาจเจริญ!J90+อุดรธานี!J90+อุบลราชธานี!J90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กาฬสินธุ์!I92+ขอนแก่น!I92+ชัยภูมิ!I92+นครพนม!I92+นครราชสีมา!I92+บึงกาฬ!I92+บุรีรัมย์!I92+มหาสารคาม!I92+มุกดาหาร!I92+ยโสธร!I92+ร้อยเอ็ด!I92+เลย!I92+ศรีสะเกษ!I92+สกลนคร!I92+สุรินทร์!I92+หนองคาย!I92+หนองบัวลำภู!I92+อำนาจเจริญ!I92+อุดรธานี!I92+อุบลราชธานี!I92</f>
        <v>49</v>
      </c>
      <c r="J92" s="142">
        <f ca="1">กาฬสินธุ์!J92+ขอนแก่น!J92+ชัยภูมิ!J92+นครพนม!J92+นครราชสีมา!J92+บึงกาฬ!J92+บุรีรัมย์!J92+มหาสารคาม!J92+มุกดาหาร!J92+ยโสธร!J92+ร้อยเอ็ด!J92+เลย!J92+ศรีสะเกษ!J92+สกลนคร!J92+สุรินทร์!J92+หนองคาย!J92+หนองบัวลำภู!J92+อำนาจเจริญ!J92+อุดรธานี!J92+อุบลราชธานี!J92</f>
        <v>65</v>
      </c>
      <c r="K92" s="143">
        <f t="shared" ref="K92:K93" ca="1" si="47">IF(I92&gt;0,J92*100/I92,0)</f>
        <v>132.65306122448979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กาฬสินธุ์!I93+ขอนแก่น!I93+ชัยภูมิ!I93+นครพนม!I93+นครราชสีมา!I93+บึงกาฬ!I93+บุรีรัมย์!I93+มหาสารคาม!I93+มุกดาหาร!I93+ยโสธร!I93+ร้อยเอ็ด!I93+เลย!I93+ศรีสะเกษ!I93+สกลนคร!I93+สุรินทร์!I93+หนองคาย!I93+หนองบัวลำภู!I93+อำนาจเจริญ!I93+อุดรธานี!I93+อุบลราชธานี!I93</f>
        <v>13</v>
      </c>
      <c r="J93" s="142">
        <f ca="1">กาฬสินธุ์!J93+ขอนแก่น!J93+ชัยภูมิ!J93+นครพนม!J93+นครราชสีมา!J93+บึงกาฬ!J93+บุรีรัมย์!J93+มหาสารคาม!J93+มุกดาหาร!J93+ยโสธร!J93+ร้อยเอ็ด!J93+เลย!J93+ศรีสะเกษ!J93+สกลนคร!J93+สุรินทร์!J93+หนองคาย!J93+หนองบัวลำภู!J93+อำนาจเจริญ!J93+อุดรธานี!J93+อุบลราชธานี!J93</f>
        <v>12</v>
      </c>
      <c r="K93" s="143">
        <f t="shared" ca="1" si="47"/>
        <v>92.307692307692307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54" t="s">
        <v>17</v>
      </c>
      <c r="E94" s="555"/>
      <c r="F94" s="555"/>
      <c r="G94" s="555"/>
      <c r="H94" s="149" t="s">
        <v>12</v>
      </c>
      <c r="I94" s="162"/>
      <c r="J94" s="162"/>
      <c r="K94" s="163"/>
      <c r="L94" s="152">
        <f ca="1">กาฬสินธุ์!L94+ขอนแก่น!L94+ชัยภูมิ!L94+นครพนม!L94+นครราชสีมา!L94+บึงกาฬ!L94+บุรีรัมย์!L94+มหาสารคาม!L94+มุกดาหาร!L94+ยโสธร!L94+ร้อยเอ็ด!L94+เลย!L94+ศรีสะเกษ!L94+สกลนคร!L94+สุรินทร์!L94+หนองคาย!L94+หนองบัวลำภู!L94+อำนาจเจริญ!L94+อุดรธานี!L94+อุบลราชธานี!L94</f>
        <v>2566280</v>
      </c>
      <c r="M94" s="152">
        <f ca="1">กาฬสินธุ์!M94+ขอนแก่น!M94+ชัยภูมิ!M94+นครพนม!M94+นครราชสีมา!M94+บึงกาฬ!M94+บุรีรัมย์!M94+มหาสารคาม!M94+มุกดาหาร!M94+ยโสธร!M94+ร้อยเอ็ด!M94+เลย!M94+ศรีสะเกษ!M94+สกลนคร!M94+สุรินทร์!M94+หนองคาย!M94+หนองบัวลำภู!M94+อำนาจเจริญ!M94+อุดรธานี!M94+อุบลราชธานี!M94</f>
        <v>2566280</v>
      </c>
      <c r="N94" s="152">
        <f ca="1">กาฬสินธุ์!N94+ขอนแก่น!N94+ชัยภูมิ!N94+นครพนม!N94+นครราชสีมา!N94+บึงกาฬ!N94+บุรีรัมย์!N94+มหาสารคาม!N94+มุกดาหาร!N94+ยโสธร!N94+ร้อยเอ็ด!N94+เลย!N94+ศรีสะเกษ!N94+สกลนคร!N94+สุรินทร์!N94+หนองคาย!N94+หนองบัวลำภู!N94+อำนาจเจริญ!N94+อุดรธานี!N94+อุบลราชธานี!N94</f>
        <v>1630843.85</v>
      </c>
      <c r="O94" s="151">
        <f t="shared" ref="O94:O96" ca="1" si="48">IF(L94&gt;0,N94*100/L94,0)</f>
        <v>63.548944386427046</v>
      </c>
      <c r="P94" s="151">
        <f t="shared" ref="P94:P96" ca="1" si="49">IF(M94&gt;0,N94*100/M94,0)</f>
        <v>63.548944386427046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>กาฬสินธุ์!L95+ขอนแก่น!L95+ชัยภูมิ!L95+นครพนม!L95+นครราชสีมา!L95+บึงกาฬ!L95+บุรีรัมย์!L95+มหาสารคาม!L95+มุกดาหาร!L95+ยโสธร!L95+ร้อยเอ็ด!L95+เลย!L95+ศรีสะเกษ!L95+สกลนคร!L95+สุรินทร์!L95+หนองคาย!L95+หนองบัวลำภู!L95+อำนาจเจริญ!L95+อุดรธานี!L95+อุบลราชธานี!L95</f>
        <v>0</v>
      </c>
      <c r="M95" s="157">
        <f>กาฬสินธุ์!M95+ขอนแก่น!M95+ชัยภูมิ!M95+นครพนม!M95+นครราชสีมา!M95+บึงกาฬ!M95+บุรีรัมย์!M95+มหาสารคาม!M95+มุกดาหาร!M95+ยโสธร!M95+ร้อยเอ็ด!M95+เลย!M95+ศรีสะเกษ!M95+สกลนคร!M95+สุรินทร์!M95+หนองคาย!M95+หนองบัวลำภู!M95+อำนาจเจริญ!M95+อุดรธานี!M95+อุบลราชธานี!M95</f>
        <v>0</v>
      </c>
      <c r="N95" s="157">
        <f>กาฬสินธุ์!N95+ขอนแก่น!N95+ชัยภูมิ!N95+นครพนม!N95+นครราชสีมา!N95+บึงกาฬ!N95+บุรีรัมย์!N95+มหาสารคาม!N95+มุกดาหาร!N95+ยโสธร!N95+ร้อยเอ็ด!N95+เลย!N95+ศรีสะเกษ!N95+สกลนคร!N95+สุรินทร์!N95+หนองคาย!N95+หนองบัวลำภู!N95+อำนาจเจริญ!N95+อุดรธานี!N95+อุบลราชธานี!N95</f>
        <v>0</v>
      </c>
      <c r="O95" s="156">
        <f t="shared" si="48"/>
        <v>0</v>
      </c>
      <c r="P95" s="156">
        <f t="shared" si="49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ca="1">กาฬสินธุ์!L96+ขอนแก่น!L96+ชัยภูมิ!L96+นครพนม!L96+นครราชสีมา!L96+บึงกาฬ!L96+บุรีรัมย์!L96+มหาสารคาม!L96+มุกดาหาร!L96+ยโสธร!L96+ร้อยเอ็ด!L96+เลย!L96+ศรีสะเกษ!L96+สกลนคร!L96+สุรินทร์!L96+หนองคาย!L96+หนองบัวลำภู!L96+อำนาจเจริญ!L96+อุดรธานี!L96+อุบลราชธานี!L96</f>
        <v>2566280</v>
      </c>
      <c r="M96" s="157">
        <f ca="1">กาฬสินธุ์!M96+ขอนแก่น!M96+ชัยภูมิ!M96+นครพนม!M96+นครราชสีมา!M96+บึงกาฬ!M96+บุรีรัมย์!M96+มหาสารคาม!M96+มุกดาหาร!M96+ยโสธร!M96+ร้อยเอ็ด!M96+เลย!M96+ศรีสะเกษ!M96+สกลนคร!M96+สุรินทร์!M96+หนองคาย!M96+หนองบัวลำภู!M96+อำนาจเจริญ!M96+อุดรธานี!M96+อุบลราชธานี!M96</f>
        <v>2566280</v>
      </c>
      <c r="N96" s="157">
        <f ca="1">กาฬสินธุ์!N96+ขอนแก่น!N96+ชัยภูมิ!N96+นครพนม!N96+นครราชสีมา!N96+บึงกาฬ!N96+บุรีรัมย์!N96+มหาสารคาม!N96+มุกดาหาร!N96+ยโสธร!N96+ร้อยเอ็ด!N96+เลย!N96+ศรีสะเกษ!N96+สกลนคร!N96+สุรินทร์!N96+หนองคาย!N96+หนองบัวลำภู!N96+อำนาจเจริญ!N96+อุดรธานี!N96+อุบลราชธานี!N96</f>
        <v>1630843.85</v>
      </c>
      <c r="O96" s="156">
        <f t="shared" ca="1" si="48"/>
        <v>63.548944386427046</v>
      </c>
      <c r="P96" s="156">
        <f t="shared" ca="1" si="49"/>
        <v>63.548944386427046</v>
      </c>
    </row>
    <row r="97" spans="1:16" ht="21.75" customHeight="1" x14ac:dyDescent="0.45">
      <c r="A97" s="158"/>
      <c r="B97" s="159"/>
      <c r="C97" s="159" t="s">
        <v>16</v>
      </c>
      <c r="D97" s="552" t="s">
        <v>20</v>
      </c>
      <c r="E97" s="553"/>
      <c r="F97" s="553"/>
      <c r="G97" s="160" t="s">
        <v>38</v>
      </c>
      <c r="H97" s="161" t="s">
        <v>12</v>
      </c>
      <c r="I97" s="162" t="s">
        <v>39</v>
      </c>
      <c r="J97" s="162"/>
      <c r="K97" s="163"/>
      <c r="L97" s="164">
        <f>กาฬสินธุ์!L97+ขอนแก่น!L97+ชัยภูมิ!L97+นครพนม!L97+นครราชสีมา!L97+บึงกาฬ!L97+บุรีรัมย์!L97+มหาสารคาม!L97+มุกดาหาร!L97+ยโสธร!L97+ร้อยเอ็ด!L97+เลย!L97+ศรีสะเกษ!L97+สกลนคร!L97+สุรินทร์!L97+หนองคาย!L97+หนองบัวลำภู!L97+อำนาจเจริญ!L97+อุดรธานี!L97+อุบลราชธานี!L97</f>
        <v>0</v>
      </c>
      <c r="M97" s="164">
        <f>กาฬสินธุ์!M97+ขอนแก่น!M97+ชัยภูมิ!M97+นครพนม!M97+นครราชสีมา!M97+บึงกาฬ!M97+บุรีรัมย์!M97+มหาสารคาม!M97+มุกดาหาร!M97+ยโสธร!M97+ร้อยเอ็ด!M97+เลย!M97+ศรีสะเกษ!M97+สกลนคร!M97+สุรินทร์!M97+หนองคาย!M97+หนองบัวลำภู!M97+อำนาจเจริญ!M97+อุดรธานี!M97+อุบลราชธานี!M97</f>
        <v>0</v>
      </c>
      <c r="N97" s="164">
        <f>กาฬสินธุ์!N97+ขอนแก่น!N97+ชัยภูมิ!N97+นครพนม!N97+นครราชสีมา!N97+บึงกาฬ!N97+บุรีรัมย์!N97+มหาสารคาม!N97+มุกดาหาร!N97+ยโสธร!N97+ร้อยเอ็ด!N97+เลย!N97+ศรีสะเกษ!N97+สกลนคร!N97+สุรินทร์!N97+หนองคาย!N97+หนองบัวลำภู!N97+อำนาจเจริญ!N97+อุดรธานี!N97+อุบลราชธานี!N97</f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กาฬสินธุ์!L98+ขอนแก่น!L98+ชัยภูมิ!L98+นครพนม!L98+นครราชสีมา!L98+บึงกาฬ!L98+บุรีรัมย์!L98+มหาสารคาม!L98+มุกดาหาร!L98+ยโสธร!L98+ร้อยเอ็ด!L98+เลย!L98+ศรีสะเกษ!L98+สกลนคร!L98+สุรินทร์!L98+หนองคาย!L98+หนองบัวลำภู!L98+อำนาจเจริญ!L98+อุดรธานี!L98+อุบลราชธานี!L98</f>
        <v>1365880</v>
      </c>
      <c r="M98" s="168">
        <f ca="1">กาฬสินธุ์!M98+ขอนแก่น!M98+ชัยภูมิ!M98+นครพนม!M98+นครราชสีมา!M98+บึงกาฬ!M98+บุรีรัมย์!M98+มหาสารคาม!M98+มุกดาหาร!M98+ยโสธร!M98+ร้อยเอ็ด!M98+เลย!M98+ศรีสะเกษ!M98+สกลนคร!M98+สุรินทร์!M98+หนองคาย!M98+หนองบัวลำภู!M98+อำนาจเจริญ!M98+อุดรธานี!M98+อุบลราชธานี!M98</f>
        <v>1365880</v>
      </c>
      <c r="N98" s="169">
        <f ca="1">กาฬสินธุ์!N98+ขอนแก่น!N98+ชัยภูมิ!N98+นครพนม!N98+นครราชสีมา!N98+บึงกาฬ!N98+บุรีรัมย์!N98+มหาสารคาม!N98+มุกดาหาร!N98+ยโสธร!N98+ร้อยเอ็ด!N98+เลย!N98+ศรีสะเกษ!N98+สกลนคร!N98+สุรินทร์!N98+หนองคาย!N98+หนองบัวลำภู!N98+อำนาจเจริญ!N98+อุดรธานี!N98+อุบลราชธานี!N98</f>
        <v>430843.85</v>
      </c>
      <c r="O98" s="169">
        <f ca="1">IF(L98&gt;0,N98*100/L98,0)</f>
        <v>31.543316396755205</v>
      </c>
      <c r="P98" s="169">
        <f ca="1">IF(M98&gt;0,N98*100/M98,0)</f>
        <v>31.543316396755205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กาฬสินธุ์!L99+ขอนแก่น!L99+ชัยภูมิ!L99+นครพนม!L99+นครราชสีมา!L99+บึงกาฬ!L99+บุรีรัมย์!L99+มหาสารคาม!L99+มุกดาหาร!L99+ยโสธร!L99+ร้อยเอ็ด!L99+เลย!L99+ศรีสะเกษ!L99+สกลนคร!L99+สุรินทร์!L99+หนองคาย!L99+หนองบัวลำภู!L99+อำนาจเจริญ!L99+อุดรธานี!L99+อุบลราชธานี!L99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กาฬสินธุ์!L100+ขอนแก่น!L100+ชัยภูมิ!L100+นครพนม!L100+นครราชสีมา!L100+บึงกาฬ!L100+บุรีรัมย์!L100+มหาสารคาม!L100+มุกดาหาร!L100+ยโสธร!L100+ร้อยเอ็ด!L100+เลย!L100+ศรีสะเกษ!L100+สกลนคร!L100+สุรินทร์!L100+หนองคาย!L100+หนองบัวลำภู!L100+อำนาจเจริญ!L100+อุดรธานี!L100+อุบลราชธานี!L100</f>
        <v>1365880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52" t="s">
        <v>23</v>
      </c>
      <c r="E101" s="553"/>
      <c r="F101" s="89"/>
      <c r="G101" s="82" t="s">
        <v>18</v>
      </c>
      <c r="H101" s="172" t="s">
        <v>12</v>
      </c>
      <c r="I101" s="188"/>
      <c r="J101" s="188"/>
      <c r="K101" s="224"/>
      <c r="L101" s="41">
        <f>กาฬสินธุ์!L101+ขอนแก่น!L101+ชัยภูมิ!L101+นครพนม!L101+นครราชสีมา!L101+บึงกาฬ!L101+บุรีรัมย์!L101+มหาสารคาม!L101+มุกดาหาร!L101+ยโสธร!L101+ร้อยเอ็ด!L101+เลย!L101+ศรีสะเกษ!L101+สกลนคร!L101+สุรินทร์!L101+หนองคาย!L101+หนองบัวลำภู!L101+อำนาจเจริญ!L101+อุดรธานี!L101+อุบลราชธานี!L101</f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กาฬสินธุ์!L102+ขอนแก่น!L102+ชัยภูมิ!L102+นครพนม!L102+นครราชสีมา!L102+บึงกาฬ!L102+บุรีรัมย์!L102+มหาสารคาม!L102+มุกดาหาร!L102+ยโสธร!L102+ร้อยเอ็ด!L102+เลย!L102+ศรีสะเกษ!L102+สกลนคร!L102+สุรินทร์!L102+หนองคาย!L102+หนองบัวลำภู!L102+อำนาจเจริญ!L102+อุดรธานี!L102+อุบลราชธานี!L102</f>
        <v>1200400</v>
      </c>
      <c r="M102" s="49">
        <f ca="1">กาฬสินธุ์!M102+ขอนแก่น!M102+ชัยภูมิ!M102+นครพนม!M102+นครราชสีมา!M102+บึงกาฬ!M102+บุรีรัมย์!M102+มหาสารคาม!M102+มุกดาหาร!M102+ยโสธร!M102+ร้อยเอ็ด!M102+เลย!M102+ศรีสะเกษ!M102+สกลนคร!M102+สุรินทร์!M102+หนองคาย!M102+หนองบัวลำภู!M102+อำนาจเจริญ!M102+อุดรธานี!M102+อุบลราชธานี!M102</f>
        <v>1200400</v>
      </c>
      <c r="N102" s="49">
        <f ca="1">กาฬสินธุ์!N102+ขอนแก่น!N102+ชัยภูมิ!N102+นครพนม!N102+นครราชสีมา!N102+บึงกาฬ!N102+บุรีรัมย์!N102+มหาสารคาม!N102+มุกดาหาร!N102+ยโสธร!N102+ร้อยเอ็ด!N102+เลย!N102+ศรีสะเกษ!N102+สกลนคร!N102+สุรินทร์!N102+หนองคาย!N102+หนองบัวลำภู!N102+อำนาจเจริญ!N102+อุดรธานี!N102+อุบลราชธานี!N102</f>
        <v>1200000</v>
      </c>
      <c r="O102" s="49">
        <f ca="1">IF(L102&gt;0,N102*100/L102,0)</f>
        <v>99.966677774075308</v>
      </c>
      <c r="P102" s="49">
        <f ca="1">IF(M102&gt;0,N102*100/M102,0)</f>
        <v>99.966677774075308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กาฬสินธุ์!J104+ขอนแก่น!J104+ชัยภูมิ!J104+นครพนม!J104+นครราชสีมา!J104+บึงกาฬ!J104+บุรีรัมย์!J104+มหาสารคาม!J104+มุกดาหาร!J104+ยโสธร!J104+ร้อยเอ็ด!J104+เลย!J104+ศรีสะเกษ!J104+สกลนคร!J104+สุรินทร์!J104+หนองคาย!J104+หนองบัวลำภู!J104+อำนาจเจริญ!J104+อุดรธานี!J104+อุบลราชธานี!J104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กาฬสินธุ์!J105+ขอนแก่น!J105+ชัยภูมิ!J105+นครพนม!J105+นครราชสีมา!J105+บึงกาฬ!J105+บุรีรัมย์!J105+มหาสารคาม!J105+มุกดาหาร!J105+ยโสธร!J105+ร้อยเอ็ด!J105+เลย!J105+ศรีสะเกษ!J105+สกลนคร!J105+สุรินทร์!J105+หนองคาย!J105+หนองบัวลำภู!J105+อำนาจเจริญ!J105+อุดรธานี!J105+อุบลราชธานี!J105</f>
        <v>11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กาฬสินธุ์!J106+ขอนแก่น!J106+ชัยภูมิ!J106+นครพนม!J106+นครราชสีมา!J106+บึงกาฬ!J106+บุรีรัมย์!J106+มหาสารคาม!J106+มุกดาหาร!J106+ยโสธร!J106+ร้อยเอ็ด!J106+เลย!J106+ศรีสะเกษ!J106+สกลนคร!J106+สุรินทร์!J106+หนองคาย!J106+หนองบัวลำภู!J106+อำนาจเจริญ!J106+อุดรธานี!J106+อุบลราชธานี!J106</f>
        <v>10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กาฬสินธุ์!J107+ขอนแก่น!J107+ชัยภูมิ!J107+นครพนม!J107+นครราชสีมา!J107+บึงกาฬ!J107+บุรีรัมย์!J107+มหาสารคาม!J107+มุกดาหาร!J107+ยโสธร!J107+ร้อยเอ็ด!J107+เลย!J107+ศรีสะเกษ!J107+สกลนคร!J107+สุรินทร์!J107+หนองคาย!J107+หนองบัวลำภู!J107+อำนาจเจริญ!J107+อุดรธานี!J107+อุบลราชธานี!J107</f>
        <v>10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กาฬสินธุ์!I108+ขอนแก่น!I108+ชัยภูมิ!I108+นครพนม!I108+นครราชสีมา!I108+บึงกาฬ!I108+บุรีรัมย์!I108+มหาสารคาม!I108+มุกดาหาร!I108+ยโสธร!I108+ร้อยเอ็ด!I108+เลย!I108+ศรีสะเกษ!I108+สกลนคร!I108+สุรินทร์!I108+หนองคาย!I108+หนองบัวลำภู!I108+อำนาจเจริญ!I108+อุดรธานี!I108+อุบลราชธานี!I108</f>
        <v>11</v>
      </c>
      <c r="J108" s="204">
        <f ca="1">กาฬสินธุ์!J108+ขอนแก่น!J108+ชัยภูมิ!J108+นครพนม!J108+นครราชสีมา!J108+บึงกาฬ!J108+บุรีรัมย์!J108+มหาสารคาม!J108+มุกดาหาร!J108+ยโสธร!J108+ร้อยเอ็ด!J108+เลย!J108+ศรีสะเกษ!J108+สกลนคร!J108+สุรินทร์!J108+หนองคาย!J108+หนองบัวลำภู!J108+อำนาจเจริญ!J108+อุดรธานี!J108+อุบลราชธานี!J108</f>
        <v>9</v>
      </c>
      <c r="K108" s="224">
        <f t="shared" ref="K108:K111" ca="1" si="50">IF(I108&gt;0,J108*100/I108,0)</f>
        <v>81.818181818181813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กาฬสินธุ์!I109+ขอนแก่น!I109+ชัยภูมิ!I109+นครพนม!I109+นครราชสีมา!I109+บึงกาฬ!I109+บุรีรัมย์!I109+มหาสารคาม!I109+มุกดาหาร!I109+ยโสธร!I109+ร้อยเอ็ด!I109+เลย!I109+ศรีสะเกษ!I109+สกลนคร!I109+สุรินทร์!I109+หนองคาย!I109+หนองบัวลำภู!I109+อำนาจเจริญ!I109+อุดรธานี!I109+อุบลราชธานี!I109</f>
        <v>49</v>
      </c>
      <c r="J109" s="204">
        <f ca="1">กาฬสินธุ์!J109+ขอนแก่น!J109+ชัยภูมิ!J109+นครพนม!J109+นครราชสีมา!J109+บึงกาฬ!J109+บุรีรัมย์!J109+มหาสารคาม!J109+มุกดาหาร!J109+ยโสธร!J109+ร้อยเอ็ด!J109+เลย!J109+ศรีสะเกษ!J109+สกลนคร!J109+สุรินทร์!J109+หนองคาย!J109+หนองบัวลำภู!J109+อำนาจเจริญ!J109+อุดรธานี!J109+อุบลราชธานี!J109</f>
        <v>65</v>
      </c>
      <c r="K109" s="224">
        <f t="shared" ca="1" si="50"/>
        <v>132.65306122448979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กาฬสินธุ์!I110+ขอนแก่น!I110+ชัยภูมิ!I110+นครพนม!I110+นครราชสีมา!I110+บึงกาฬ!I110+บุรีรัมย์!I110+มหาสารคาม!I110+มุกดาหาร!I110+ยโสธร!I110+ร้อยเอ็ด!I110+เลย!I110+ศรีสะเกษ!I110+สกลนคร!I110+สุรินทร์!I110+หนองคาย!I110+หนองบัวลำภู!I110+อำนาจเจริญ!I110+อุดรธานี!I110+อุบลราชธานี!I110</f>
        <v>49</v>
      </c>
      <c r="J110" s="204">
        <f ca="1">กาฬสินธุ์!J110+ขอนแก่น!J110+ชัยภูมิ!J110+นครพนม!J110+นครราชสีมา!J110+บึงกาฬ!J110+บุรีรัมย์!J110+มหาสารคาม!J110+มุกดาหาร!J110+ยโสธร!J110+ร้อยเอ็ด!J110+เลย!J110+ศรีสะเกษ!J110+สกลนคร!J110+สุรินทร์!J110+หนองคาย!J110+หนองบัวลำภู!J110+อำนาจเจริญ!J110+อุดรธานี!J110+อุบลราชธานี!J110</f>
        <v>50</v>
      </c>
      <c r="K110" s="224">
        <f t="shared" ca="1" si="50"/>
        <v>102.04081632653062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กาฬสินธุ์!I111+ขอนแก่น!I111+ชัยภูมิ!I111+นครพนม!I111+นครราชสีมา!I111+บึงกาฬ!I111+บุรีรัมย์!I111+มหาสารคาม!I111+มุกดาหาร!I111+ยโสธร!I111+ร้อยเอ็ด!I111+เลย!I111+ศรีสะเกษ!I111+สกลนคร!I111+สุรินทร์!I111+หนองคาย!I111+หนองบัวลำภู!I111+อำนาจเจริญ!I111+อุดรธานี!I111+อุบลราชธานี!I111</f>
        <v>49</v>
      </c>
      <c r="J111" s="204">
        <f ca="1">กาฬสินธุ์!J111+ขอนแก่น!J111+ชัยภูมิ!J111+นครพนม!J111+นครราชสีมา!J111+บึงกาฬ!J111+บุรีรัมย์!J111+มหาสารคาม!J111+มุกดาหาร!J111+ยโสธร!J111+ร้อยเอ็ด!J111+เลย!J111+ศรีสะเกษ!J111+สกลนคร!J111+สุรินทร์!J111+หนองคาย!J111+หนองบัวลำภู!J111+อำนาจเจริญ!J111+อุดรธานี!J111+อุบลราชธานี!J111</f>
        <v>42</v>
      </c>
      <c r="K111" s="224">
        <f t="shared" ca="1" si="50"/>
        <v>85.714285714285708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กาฬสินธุ์!I112+ขอนแก่น!I112+ชัยภูมิ!I112+นครพนม!I112+นครราชสีมา!I112+บึงกาฬ!I112+บุรีรัมย์!I112+มหาสารคาม!I112+มุกดาหาร!I112+ยโสธร!I112+ร้อยเอ็ด!I112+เลย!I112+ศรีสะเกษ!I112+สกลนคร!I112+สุรินทร์!I112+หนองคาย!I112+หนองบัวลำภู!I112+อำนาจเจริญ!I112+อุดรธานี!I112+อุบลราชธานี!I112</f>
        <v>49</v>
      </c>
      <c r="J112" s="204">
        <f ca="1">กาฬสินธุ์!J112+ขอนแก่น!J112+ชัยภูมิ!J112+นครพนม!J112+นครราชสีมา!J112+บึงกาฬ!J112+บุรีรัมย์!J112+มหาสารคาม!J112+มุกดาหาร!J112+ยโสธร!J112+ร้อยเอ็ด!J112+เลย!J112+ศรีสะเกษ!J112+สกลนคร!J112+สุรินทร์!J112+หนองคาย!J112+หนองบัวลำภู!J112+อำนาจเจริญ!J112+อุดรธานี!J112+อุบลราชธานี!J112</f>
        <v>53</v>
      </c>
      <c r="K112" s="224">
        <f ca="1">IF(I112&gt;0,J112*100/I112,0)</f>
        <v>108.16326530612245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กาฬสินธุ์!I113+ขอนแก่น!I113+ชัยภูมิ!I113+นครพนม!I113+นครราชสีมา!I113+บึงกาฬ!I113+บุรีรัมย์!I113+มหาสารคาม!I113+มุกดาหาร!I113+ยโสธร!I113+ร้อยเอ็ด!I113+เลย!I113+ศรีสะเกษ!I113+สกลนคร!I113+สุรินทร์!I113+หนองคาย!I113+หนองบัวลำภู!I113+อำนาจเจริญ!I113+อุดรธานี!I113+อุบลราชธานี!I113</f>
        <v>13</v>
      </c>
      <c r="J113" s="204">
        <f ca="1">กาฬสินธุ์!J113+ขอนแก่น!J113+ชัยภูมิ!J113+นครพนม!J113+นครราชสีมา!J113+บึงกาฬ!J113+บุรีรัมย์!J113+มหาสารคาม!J113+มุกดาหาร!J113+ยโสธร!J113+ร้อยเอ็ด!J113+เลย!J113+ศรีสะเกษ!J113+สกลนคร!J113+สุรินทร์!J113+หนองคาย!J113+หนองบัวลำภู!J113+อำนาจเจริญ!J113+อุดรธานี!J113+อุบลราชธานี!J113</f>
        <v>12</v>
      </c>
      <c r="K113" s="224">
        <f ca="1">IF(I113&gt;0,J113*100/I113,0)</f>
        <v>92.307692307692307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กาฬสินธุ์!J114+ขอนแก่น!J114+ชัยภูมิ!J114+นครพนม!J114+นครราชสีมา!J114+บึงกาฬ!J114+บุรีรัมย์!J114+มหาสารคาม!J114+มุกดาหาร!J114+ยโสธร!J114+ร้อยเอ็ด!J114+เลย!J114+ศรีสะเกษ!J114+สกลนคร!J114+สุรินทร์!J114+หนองคาย!J114+หนองบัวลำภู!J114+อำนาจเจริญ!J114+อุดรธานี!J114+อุบลราชธานี!J114</f>
        <v>1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กาฬสินธุ์!J115+ขอนแก่น!J115+ชัยภูมิ!J115+นครพนม!J115+นครราชสีมา!J115+บึงกาฬ!J115+บุรีรัมย์!J115+มหาสารคาม!J115+มุกดาหาร!J115+ยโสธร!J115+ร้อยเอ็ด!J115+เลย!J115+ศรีสะเกษ!J115+สกลนคร!J115+สุรินทร์!J115+หนองคาย!J115+หนองบัวลำภู!J115+อำนาจเจริญ!J115+อุดรธานี!J115+อุบลราชธานี!J115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กาฬสินธุ์!I117+ขอนแก่น!I117+ชัยภูมิ!I117+นครพนม!I117+นครราชสีมา!I117+บึงกาฬ!I117+บุรีรัมย์!I117+มหาสารคาม!I117+มุกดาหาร!I117+ยโสธร!I117+ร้อยเอ็ด!I117+เลย!I117+ศรีสะเกษ!I117+สกลนคร!I117+สุรินทร์!I117+หนองคาย!I117+หนองบัวลำภู!I117+อำนาจเจริญ!I117+อุดรธานี!I117+อุบลราชธานี!I117</f>
        <v>120</v>
      </c>
      <c r="J117" s="142">
        <f ca="1">กาฬสินธุ์!J117+ขอนแก่น!J117+ชัยภูมิ!J117+นครพนม!J117+นครราชสีมา!J117+บึงกาฬ!J117+บุรีรัมย์!J117+มหาสารคาม!J117+มุกดาหาร!J117+ยโสธร!J117+ร้อยเอ็ด!J117+เลย!J117+ศรีสะเกษ!J117+สกลนคร!J117+สุรินทร์!J117+หนองคาย!J117+หนองบัวลำภู!J117+อำนาจเจริญ!J117+อุดรธานี!J117+อุบลราชธานี!J117</f>
        <v>120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54" t="s">
        <v>17</v>
      </c>
      <c r="E118" s="555"/>
      <c r="F118" s="555"/>
      <c r="G118" s="555"/>
      <c r="H118" s="149" t="s">
        <v>12</v>
      </c>
      <c r="I118" s="162"/>
      <c r="J118" s="162"/>
      <c r="K118" s="163"/>
      <c r="L118" s="152">
        <f ca="1">กาฬสินธุ์!L118+ขอนแก่น!L118+ชัยภูมิ!L118+นครพนม!L118+นครราชสีมา!L118+บึงกาฬ!L118+บุรีรัมย์!L118+มหาสารคาม!L118+มุกดาหาร!L118+ยโสธร!L118+ร้อยเอ็ด!L118+เลย!L118+ศรีสะเกษ!L118+สกลนคร!L118+สุรินทร์!L118+หนองคาย!L118+หนองบัวลำภู!L118+อำนาจเจริญ!L118+อุดรธานี!L118+อุบลราชธานี!L118</f>
        <v>494640</v>
      </c>
      <c r="M118" s="152">
        <f ca="1">กาฬสินธุ์!M118+ขอนแก่น!M118+ชัยภูมิ!M118+นครพนม!M118+นครราชสีมา!M118+บึงกาฬ!M118+บุรีรัมย์!M118+มหาสารคาม!M118+มุกดาหาร!M118+ยโสธร!M118+ร้อยเอ็ด!M118+เลย!M118+ศรีสะเกษ!M118+สกลนคร!M118+สุรินทร์!M118+หนองคาย!M118+หนองบัวลำภู!M118+อำนาจเจริญ!M118+อุดรธานี!M118+อุบลราชธานี!M118</f>
        <v>494640</v>
      </c>
      <c r="N118" s="152">
        <f ca="1">กาฬสินธุ์!N118+ขอนแก่น!N118+ชัยภูมิ!N118+นครพนม!N118+นครราชสีมา!N118+บึงกาฬ!N118+บุรีรัมย์!N118+มหาสารคาม!N118+มุกดาหาร!N118+ยโสธร!N118+ร้อยเอ็ด!N118+เลย!N118+ศรีสะเกษ!N118+สกลนคร!N118+สุรินทร์!N118+หนองคาย!N118+หนองบัวลำภู!N118+อำนาจเจริญ!N118+อุดรธานี!N118+อุบลราชธานี!N118</f>
        <v>216497</v>
      </c>
      <c r="O118" s="151">
        <f t="shared" ref="O118:O120" ca="1" si="51">IF(L118&gt;0,N118*100/L118,0)</f>
        <v>43.768599385411612</v>
      </c>
      <c r="P118" s="151">
        <f t="shared" ref="P118:P120" ca="1" si="52">IF(M118&gt;0,N118*100/M118,0)</f>
        <v>43.768599385411612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>กาฬสินธุ์!L119+ขอนแก่น!L119+ชัยภูมิ!L119+นครพนม!L119+นครราชสีมา!L119+บึงกาฬ!L119+บุรีรัมย์!L119+มหาสารคาม!L119+มุกดาหาร!L119+ยโสธร!L119+ร้อยเอ็ด!L119+เลย!L119+ศรีสะเกษ!L119+สกลนคร!L119+สุรินทร์!L119+หนองคาย!L119+หนองบัวลำภู!L119+อำนาจเจริญ!L119+อุดรธานี!L119+อุบลราชธานี!L119</f>
        <v>0</v>
      </c>
      <c r="M119" s="157">
        <f>กาฬสินธุ์!M119+ขอนแก่น!M119+ชัยภูมิ!M119+นครพนม!M119+นครราชสีมา!M119+บึงกาฬ!M119+บุรีรัมย์!M119+มหาสารคาม!M119+มุกดาหาร!M119+ยโสธร!M119+ร้อยเอ็ด!M119+เลย!M119+ศรีสะเกษ!M119+สกลนคร!M119+สุรินทร์!M119+หนองคาย!M119+หนองบัวลำภู!M119+อำนาจเจริญ!M119+อุดรธานี!M119+อุบลราชธานี!M119</f>
        <v>0</v>
      </c>
      <c r="N119" s="157">
        <f>กาฬสินธุ์!N119+ขอนแก่น!N119+ชัยภูมิ!N119+นครพนม!N119+นครราชสีมา!N119+บึงกาฬ!N119+บุรีรัมย์!N119+มหาสารคาม!N119+มุกดาหาร!N119+ยโสธร!N119+ร้อยเอ็ด!N119+เลย!N119+ศรีสะเกษ!N119+สกลนคร!N119+สุรินทร์!N119+หนองคาย!N119+หนองบัวลำภู!N119+อำนาจเจริญ!N119+อุดรธานี!N119+อุบลราชธานี!N119</f>
        <v>0</v>
      </c>
      <c r="O119" s="156">
        <f t="shared" si="51"/>
        <v>0</v>
      </c>
      <c r="P119" s="156">
        <f t="shared" si="52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ca="1">กาฬสินธุ์!L120+ขอนแก่น!L120+ชัยภูมิ!L120+นครพนม!L120+นครราชสีมา!L120+บึงกาฬ!L120+บุรีรัมย์!L120+มหาสารคาม!L120+มุกดาหาร!L120+ยโสธร!L120+ร้อยเอ็ด!L120+เลย!L120+ศรีสะเกษ!L120+สกลนคร!L120+สุรินทร์!L120+หนองคาย!L120+หนองบัวลำภู!L120+อำนาจเจริญ!L120+อุดรธานี!L120+อุบลราชธานี!L120</f>
        <v>494640</v>
      </c>
      <c r="M120" s="157">
        <f ca="1">กาฬสินธุ์!M120+ขอนแก่น!M120+ชัยภูมิ!M120+นครพนม!M120+นครราชสีมา!M120+บึงกาฬ!M120+บุรีรัมย์!M120+มหาสารคาม!M120+มุกดาหาร!M120+ยโสธร!M120+ร้อยเอ็ด!M120+เลย!M120+ศรีสะเกษ!M120+สกลนคร!M120+สุรินทร์!M120+หนองคาย!M120+หนองบัวลำภู!M120+อำนาจเจริญ!M120+อุดรธานี!M120+อุบลราชธานี!M120</f>
        <v>494640</v>
      </c>
      <c r="N120" s="157">
        <f ca="1">กาฬสินธุ์!N120+ขอนแก่น!N120+ชัยภูมิ!N120+นครพนม!N120+นครราชสีมา!N120+บึงกาฬ!N120+บุรีรัมย์!N120+มหาสารคาม!N120+มุกดาหาร!N120+ยโสธร!N120+ร้อยเอ็ด!N120+เลย!N120+ศรีสะเกษ!N120+สกลนคร!N120+สุรินทร์!N120+หนองคาย!N120+หนองบัวลำภู!N120+อำนาจเจริญ!N120+อุดรธานี!N120+อุบลราชธานี!N120</f>
        <v>216497</v>
      </c>
      <c r="O120" s="156">
        <f t="shared" ca="1" si="51"/>
        <v>43.768599385411612</v>
      </c>
      <c r="P120" s="156">
        <f t="shared" ca="1" si="52"/>
        <v>43.768599385411612</v>
      </c>
    </row>
    <row r="121" spans="1:16" ht="21.75" customHeight="1" x14ac:dyDescent="0.45">
      <c r="A121" s="158"/>
      <c r="B121" s="159"/>
      <c r="C121" s="159" t="s">
        <v>16</v>
      </c>
      <c r="D121" s="552" t="s">
        <v>20</v>
      </c>
      <c r="E121" s="553"/>
      <c r="F121" s="55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f>กาฬสินธุ์!L121+ขอนแก่น!L121+ชัยภูมิ!L121+นครพนม!L121+นครราชสีมา!L121+บึงกาฬ!L121+บุรีรัมย์!L121+มหาสารคาม!L121+มุกดาหาร!L121+ยโสธร!L121+ร้อยเอ็ด!L121+เลย!L121+ศรีสะเกษ!L121+สกลนคร!L121+สุรินทร์!L121+หนองคาย!L121+หนองบัวลำภู!L121+อำนาจเจริญ!L121+อุดรธานี!L121+อุบลราชธานี!L121</f>
        <v>0</v>
      </c>
      <c r="M121" s="164">
        <f>กาฬสินธุ์!M121+ขอนแก่น!M121+ชัยภูมิ!M121+นครพนม!M121+นครราชสีมา!M121+บึงกาฬ!M121+บุรีรัมย์!M121+มหาสารคาม!M121+มุกดาหาร!M121+ยโสธร!M121+ร้อยเอ็ด!M121+เลย!M121+ศรีสะเกษ!M121+สกลนคร!M121+สุรินทร์!M121+หนองคาย!M121+หนองบัวลำภู!M121+อำนาจเจริญ!M121+อุดรธานี!M121+อุบลราชธานี!M121</f>
        <v>0</v>
      </c>
      <c r="N121" s="164">
        <f>กาฬสินธุ์!N121+ขอนแก่น!N121+ชัยภูมิ!N121+นครพนม!N121+นครราชสีมา!N121+บึงกาฬ!N121+บุรีรัมย์!N121+มหาสารคาม!N121+มุกดาหาร!N121+ยโสธร!N121+ร้อยเอ็ด!N121+เลย!N121+ศรีสะเกษ!N121+สกลนคร!N121+สุรินทร์!N121+หนองคาย!N121+หนองบัวลำภู!N121+อำนาจเจริญ!N121+อุดรธานี!N121+อุบลราชธานี!N121</f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กาฬสินธุ์!L122+ขอนแก่น!L122+ชัยภูมิ!L122+นครพนม!L122+นครราชสีมา!L122+บึงกาฬ!L122+บุรีรัมย์!L122+มหาสารคาม!L122+มุกดาหาร!L122+ยโสธร!L122+ร้อยเอ็ด!L122+เลย!L122+ศรีสะเกษ!L122+สกลนคร!L122+สุรินทร์!L122+หนองคาย!L122+หนองบัวลำภู!L122+อำนาจเจริญ!L122+อุดรธานี!L122+อุบลราชธานี!L122</f>
        <v>494640</v>
      </c>
      <c r="M122" s="168">
        <f ca="1">กาฬสินธุ์!M122+ขอนแก่น!M122+ชัยภูมิ!M122+นครพนม!M122+นครราชสีมา!M122+บึงกาฬ!M122+บุรีรัมย์!M122+มหาสารคาม!M122+มุกดาหาร!M122+ยโสธร!M122+ร้อยเอ็ด!M122+เลย!M122+ศรีสะเกษ!M122+สกลนคร!M122+สุรินทร์!M122+หนองคาย!M122+หนองบัวลำภู!M122+อำนาจเจริญ!M122+อุดรธานี!M122+อุบลราชธานี!M122</f>
        <v>494640</v>
      </c>
      <c r="N122" s="169">
        <f ca="1">กาฬสินธุ์!N122+ขอนแก่น!N122+ชัยภูมิ!N122+นครพนม!N122+นครราชสีมา!N122+บึงกาฬ!N122+บุรีรัมย์!N122+มหาสารคาม!N122+มุกดาหาร!N122+ยโสธร!N122+ร้อยเอ็ด!N122+เลย!N122+ศรีสะเกษ!N122+สกลนคร!N122+สุรินทร์!N122+หนองคาย!N122+หนองบัวลำภู!N122+อำนาจเจริญ!N122+อุดรธานี!N122+อุบลราชธานี!N122</f>
        <v>216497</v>
      </c>
      <c r="O122" s="169">
        <f ca="1">IF(L122&gt;0,N122*100/L122,0)</f>
        <v>43.768599385411612</v>
      </c>
      <c r="P122" s="169">
        <f ca="1">IF(M122&gt;0,N122*100/M122,0)</f>
        <v>43.768599385411612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กาฬสินธุ์!L123+ขอนแก่น!L123+ชัยภูมิ!L123+นครพนม!L123+นครราชสีมา!L123+บึงกาฬ!L123+บุรีรัมย์!L123+มหาสารคาม!L123+มุกดาหาร!L123+ยโสธร!L123+ร้อยเอ็ด!L123+เลย!L123+ศรีสะเกษ!L123+สกลนคร!L123+สุรินทร์!L123+หนองคาย!L123+หนองบัวลำภู!L123+อำนาจเจริญ!L123+อุดรธานี!L123+อุบลราชธานี!L123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กาฬสินธุ์!L124+ขอนแก่น!L124+ชัยภูมิ!L124+นครพนม!L124+นครราชสีมา!L124+บึงกาฬ!L124+บุรีรัมย์!L124+มหาสารคาม!L124+มุกดาหาร!L124+ยโสธร!L124+ร้อยเอ็ด!L124+เลย!L124+ศรีสะเกษ!L124+สกลนคร!L124+สุรินทร์!L124+หนองคาย!L124+หนองบัวลำภู!L124+อำนาจเจริญ!L124+อุดรธานี!L124+อุบลราชธานี!L124</f>
        <v>494640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52" t="s">
        <v>23</v>
      </c>
      <c r="E125" s="553"/>
      <c r="F125" s="89"/>
      <c r="G125" s="82" t="s">
        <v>18</v>
      </c>
      <c r="H125" s="172" t="s">
        <v>12</v>
      </c>
      <c r="I125" s="188"/>
      <c r="J125" s="188"/>
      <c r="K125" s="224"/>
      <c r="L125" s="41">
        <f>กาฬสินธุ์!L125+ขอนแก่น!L125+ชัยภูมิ!L125+นครพนม!L125+นครราชสีมา!L125+บึงกาฬ!L125+บุรีรัมย์!L125+มหาสารคาม!L125+มุกดาหาร!L125+ยโสธร!L125+ร้อยเอ็ด!L125+เลย!L125+ศรีสะเกษ!L125+สกลนคร!L125+สุรินทร์!L125+หนองคาย!L125+หนองบัวลำภู!L125+อำนาจเจริญ!L125+อุดรธานี!L125+อุบลราชธานี!L125</f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กาฬสินธุ์!L126+ขอนแก่น!L126+ชัยภูมิ!L126+นครพนม!L126+นครราชสีมา!L126+บึงกาฬ!L126+บุรีรัมย์!L126+มหาสารคาม!L126+มุกดาหาร!L126+ยโสธร!L126+ร้อยเอ็ด!L126+เลย!L126+ศรีสะเกษ!L126+สกลนคร!L126+สุรินทร์!L126+หนองคาย!L126+หนองบัวลำภู!L126+อำนาจเจริญ!L126+อุดรธานี!L126+อุบลราชธานี!L126</f>
        <v>0</v>
      </c>
      <c r="M126" s="49"/>
      <c r="N126" s="49">
        <f ca="1">กาฬสินธุ์!N126+ขอนแก่น!N126+ชัยภูมิ!N126+นครพนม!N126+นครราชสีมา!N126+บึงกาฬ!N126+บุรีรัมย์!N126+มหาสารคาม!N126+มุกดาหาร!N126+ยโสธร!N126+ร้อยเอ็ด!N126+เลย!N126+ศรีสะเกษ!N126+สกลนคร!N126+สุรินทร์!N126+หนองคาย!N126+หนองบัวลำภู!N126+อำนาจเจริญ!N126+อุดรธานี!N126+อุบลราชธานี!N126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3" t="s">
        <v>68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กาฬสินธุ์!J128+ขอนแก่น!J128+ชัยภูมิ!J128+นครพนม!J128+นครราชสีมา!J128+บึงกาฬ!J128+บุรีรัมย์!J128+มหาสารคาม!J128+มุกดาหาร!J128+ยโสธร!J128+ร้อยเอ็ด!J128+เลย!J128+ศรีสะเกษ!J128+สกลนคร!J128+สุรินทร์!J128+หนองคาย!J128+หนองบัวลำภู!J128+อำนาจเจริญ!J128+อุดรธานี!J128+อุบลราชธานี!J128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กาฬสินธุ์!J129+ขอนแก่น!J129+ชัยภูมิ!J129+นครพนม!J129+นครราชสีมา!J129+บึงกาฬ!J129+บุรีรัมย์!J129+มหาสารคาม!J129+มุกดาหาร!J129+ยโสธร!J129+ร้อยเอ็ด!J129+เลย!J129+ศรีสะเกษ!J129+สกลนคร!J129+สุรินทร์!J129+หนองคาย!J129+หนองบัวลำภู!J129+อำนาจเจริญ!J129+อุดรธานี!J129+อุบลราชธานี!J129</f>
        <v>6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กาฬสินธุ์!J130+ขอนแก่น!J130+ชัยภูมิ!J130+นครพนม!J130+นครราชสีมา!J130+บึงกาฬ!J130+บุรีรัมย์!J130+มหาสารคาม!J130+มุกดาหาร!J130+ยโสธร!J130+ร้อยเอ็ด!J130+เลย!J130+ศรีสะเกษ!J130+สกลนคร!J130+สุรินทร์!J130+หนองคาย!J130+หนองบัวลำภู!J130+อำนาจเจริญ!J130+อุดรธานี!J130+อุบลราชธานี!J130</f>
        <v>5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กาฬสินธุ์!J131+ขอนแก่น!J131+ชัยภูมิ!J131+นครพนม!J131+นครราชสีมา!J131+บึงกาฬ!J131+บุรีรัมย์!J131+มหาสารคาม!J131+มุกดาหาร!J131+ยโสธร!J131+ร้อยเอ็ด!J131+เลย!J131+ศรีสะเกษ!J131+สกลนคร!J131+สุรินทร์!J131+หนองคาย!J131+หนองบัวลำภู!J131+อำนาจเจริญ!J131+อุดรธานี!J131+อุบลราชธานี!J131</f>
        <v>4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กาฬสินธุ์!I132+ขอนแก่น!I132+ชัยภูมิ!I132+นครพนม!I132+นครราชสีมา!I132+บึงกาฬ!I132+บุรีรัมย์!I132+มหาสารคาม!I132+มุกดาหาร!I132+ยโสธร!I132+ร้อยเอ็ด!I132+เลย!I132+ศรีสะเกษ!I132+สกลนคร!I132+สุรินทร์!I132+หนองคาย!I132+หนองบัวลำภู!I132+อำนาจเจริญ!I132+อุดรธานี!I132+อุบลราชธานี!I132</f>
        <v>120</v>
      </c>
      <c r="J132" s="204">
        <f ca="1">กาฬสินธุ์!J132+ขอนแก่น!J132+ชัยภูมิ!J132+นครพนม!J132+นครราชสีมา!J132+บึงกาฬ!J132+บุรีรัมย์!J132+มหาสารคาม!J132+มุกดาหาร!J132+ยโสธร!J132+ร้อยเอ็ด!J132+เลย!J132+ศรีสะเกษ!J132+สกลนคร!J132+สุรินทร์!J132+หนองคาย!J132+หนองบัวลำภู!J132+อำนาจเจริญ!J132+อุดรธานี!J132+อุบลราชธานี!J132</f>
        <v>120</v>
      </c>
      <c r="K132" s="224">
        <f t="shared" ref="K132:K133" ca="1" si="5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กาฬสินธุ์!I133+ขอนแก่น!I133+ชัยภูมิ!I133+นครพนม!I133+นครราชสีมา!I133+บึงกาฬ!I133+บุรีรัมย์!I133+มหาสารคาม!I133+มุกดาหาร!I133+ยโสธร!I133+ร้อยเอ็ด!I133+เลย!I133+ศรีสะเกษ!I133+สกลนคร!I133+สุรินทร์!I133+หนองคาย!I133+หนองบัวลำภู!I133+อำนาจเจริญ!I133+อุดรธานี!I133+อุบลราชธานี!I133</f>
        <v>120</v>
      </c>
      <c r="J133" s="204">
        <f ca="1">กาฬสินธุ์!J133+ขอนแก่น!J133+ชัยภูมิ!J133+นครพนม!J133+นครราชสีมา!J133+บึงกาฬ!J133+บุรีรัมย์!J133+มหาสารคาม!J133+มุกดาหาร!J133+ยโสธร!J133+ร้อยเอ็ด!J133+เลย!J133+ศรีสะเกษ!J133+สกลนคร!J133+สุรินทร์!J133+หนองคาย!J133+หนองบัวลำภู!J133+อำนาจเจริญ!J133+อุดรธานี!J133+อุบลราชธานี!J133</f>
        <v>80</v>
      </c>
      <c r="K133" s="224">
        <f t="shared" ca="1" si="53"/>
        <v>66.666666666666671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กาฬสินธุ์!J134+ขอนแก่น!J134+ชัยภูมิ!J134+นครพนม!J134+นครราชสีมา!J134+บึงกาฬ!J134+บุรีรัมย์!J134+มหาสารคาม!J134+มุกดาหาร!J134+ยโสธร!J134+ร้อยเอ็ด!J134+เลย!J134+ศรีสะเกษ!J134+สกลนคร!J134+สุรินทร์!J134+หนองคาย!J134+หนองบัวลำภู!J134+อำนาจเจริญ!J134+อุดรธานี!J134+อุบลราชธานี!J134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กาฬสินธุ์!J135+ขอนแก่น!J135+ชัยภูมิ!J135+นครพนม!J135+นครราชสีมา!J135+บึงกาฬ!J135+บุรีรัมย์!J135+มหาสารคาม!J135+มุกดาหาร!J135+ยโสธร!J135+ร้อยเอ็ด!J135+เลย!J135+ศรีสะเกษ!J135+สกลนคร!J135+สุรินทร์!J135+หนองคาย!J135+หนองบัวลำภู!J135+อำนาจเจริญ!J135+อุดรธานี!J135+อุบลราชธานี!J135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กาฬสินธุ์!I138+ขอนแก่น!I138+ชัยภูมิ!I138+นครพนม!I138+นครราชสีมา!I138+บึงกาฬ!I138+บุรีรัมย์!I138+มหาสารคาม!I138+มุกดาหาร!I138+ยโสธร!I138+ร้อยเอ็ด!I138+เลย!I138+ศรีสะเกษ!I138+สกลนคร!I138+สุรินทร์!I138+หนองคาย!I138+หนองบัวลำภู!I138+อำนาจเจริญ!I138+อุดรธานี!I138+อุบลราชธานี!I138</f>
        <v>160</v>
      </c>
      <c r="J138" s="267">
        <f ca="1">กาฬสินธุ์!J138+ขอนแก่น!J138+ชัยภูมิ!J138+นครพนม!J138+นครราชสีมา!J138+บึงกาฬ!J138+บุรีรัมย์!J138+มหาสารคาม!J138+มุกดาหาร!J138+ยโสธร!J138+ร้อยเอ็ด!J138+เลย!J138+ศรีสะเกษ!J138+สกลนคร!J138+สุรินทร์!J138+หนองคาย!J138+หนองบัวลำภู!J138+อำนาจเจริญ!J138+อุดรธานี!J138+อุบลราชธานี!J138</f>
        <v>160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54" t="s">
        <v>17</v>
      </c>
      <c r="E140" s="555"/>
      <c r="F140" s="555"/>
      <c r="G140" s="555"/>
      <c r="H140" s="149" t="s">
        <v>12</v>
      </c>
      <c r="I140" s="162"/>
      <c r="J140" s="162"/>
      <c r="K140" s="163"/>
      <c r="L140" s="152">
        <f ca="1">กาฬสินธุ์!L140+ขอนแก่น!L140+ชัยภูมิ!L140+นครพนม!L140+นครราชสีมา!L140+บึงกาฬ!L140+บุรีรัมย์!L140+มหาสารคาม!L140+มุกดาหาร!L140+ยโสธร!L140+ร้อยเอ็ด!L140+เลย!L140+ศรีสะเกษ!L140+สกลนคร!L140+สุรินทร์!L140+หนองคาย!L140+หนองบัวลำภู!L140+อำนาจเจริญ!L140+อุดรธานี!L140+อุบลราชธานี!L140</f>
        <v>4440450</v>
      </c>
      <c r="M140" s="152">
        <f ca="1">กาฬสินธุ์!M140+ขอนแก่น!M140+ชัยภูมิ!M140+นครพนม!M140+นครราชสีมา!M140+บึงกาฬ!M140+บุรีรัมย์!M140+มหาสารคาม!M140+มุกดาหาร!M140+ยโสธร!M140+ร้อยเอ็ด!M140+เลย!M140+ศรีสะเกษ!M140+สกลนคร!M140+สุรินทร์!M140+หนองคาย!M140+หนองบัวลำภู!M140+อำนาจเจริญ!M140+อุดรธานี!M140+อุบลราชธานี!M140</f>
        <v>3707050</v>
      </c>
      <c r="N140" s="152">
        <f ca="1">กาฬสินธุ์!N140+ขอนแก่น!N140+ชัยภูมิ!N140+นครพนม!N140+นครราชสีมา!N140+บึงกาฬ!N140+บุรีรัมย์!N140+มหาสารคาม!N140+มุกดาหาร!N140+ยโสธร!N140+ร้อยเอ็ด!N140+เลย!N140+ศรีสะเกษ!N140+สกลนคร!N140+สุรินทร์!N140+หนองคาย!N140+หนองบัวลำภู!N140+อำนาจเจริญ!N140+อุดรธานี!N140+อุบลราชธานี!N140</f>
        <v>2506933.79</v>
      </c>
      <c r="O140" s="151">
        <f t="shared" ref="O140:O142" ca="1" si="54">IF(L140&gt;0,N140*100/L140,0)</f>
        <v>56.456750779763311</v>
      </c>
      <c r="P140" s="151">
        <f t="shared" ref="P140:P142" ca="1" si="55">IF(M140&gt;0,N140*100/M140,0)</f>
        <v>67.626112137683606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>กาฬสินธุ์!L141+ขอนแก่น!L141+ชัยภูมิ!L141+นครพนม!L141+นครราชสีมา!L141+บึงกาฬ!L141+บุรีรัมย์!L141+มหาสารคาม!L141+มุกดาหาร!L141+ยโสธร!L141+ร้อยเอ็ด!L141+เลย!L141+ศรีสะเกษ!L141+สกลนคร!L141+สุรินทร์!L141+หนองคาย!L141+หนองบัวลำภู!L141+อำนาจเจริญ!L141+อุดรธานี!L141+อุบลราชธานี!L141</f>
        <v>0</v>
      </c>
      <c r="M141" s="157">
        <f>กาฬสินธุ์!M141+ขอนแก่น!M141+ชัยภูมิ!M141+นครพนม!M141+นครราชสีมา!M141+บึงกาฬ!M141+บุรีรัมย์!M141+มหาสารคาม!M141+มุกดาหาร!M141+ยโสธร!M141+ร้อยเอ็ด!M141+เลย!M141+ศรีสะเกษ!M141+สกลนคร!M141+สุรินทร์!M141+หนองคาย!M141+หนองบัวลำภู!M141+อำนาจเจริญ!M141+อุดรธานี!M141+อุบลราชธานี!M141</f>
        <v>0</v>
      </c>
      <c r="N141" s="157">
        <f>กาฬสินธุ์!N141+ขอนแก่น!N141+ชัยภูมิ!N141+นครพนม!N141+นครราชสีมา!N141+บึงกาฬ!N141+บุรีรัมย์!N141+มหาสารคาม!N141+มุกดาหาร!N141+ยโสธร!N141+ร้อยเอ็ด!N141+เลย!N141+ศรีสะเกษ!N141+สกลนคร!N141+สุรินทร์!N141+หนองคาย!N141+หนองบัวลำภู!N141+อำนาจเจริญ!N141+อุดรธานี!N141+อุบลราชธานี!N141</f>
        <v>0</v>
      </c>
      <c r="O141" s="156">
        <f t="shared" si="54"/>
        <v>0</v>
      </c>
      <c r="P141" s="156">
        <f t="shared" si="55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ca="1">กาฬสินธุ์!L142+ขอนแก่น!L142+ชัยภูมิ!L142+นครพนม!L142+นครราชสีมา!L142+บึงกาฬ!L142+บุรีรัมย์!L142+มหาสารคาม!L142+มุกดาหาร!L142+ยโสธร!L142+ร้อยเอ็ด!L142+เลย!L142+ศรีสะเกษ!L142+สกลนคร!L142+สุรินทร์!L142+หนองคาย!L142+หนองบัวลำภู!L142+อำนาจเจริญ!L142+อุดรธานี!L142+อุบลราชธานี!L142</f>
        <v>4440450</v>
      </c>
      <c r="M142" s="157">
        <f ca="1">กาฬสินธุ์!M142+ขอนแก่น!M142+ชัยภูมิ!M142+นครพนม!M142+นครราชสีมา!M142+บึงกาฬ!M142+บุรีรัมย์!M142+มหาสารคาม!M142+มุกดาหาร!M142+ยโสธร!M142+ร้อยเอ็ด!M142+เลย!M142+ศรีสะเกษ!M142+สกลนคร!M142+สุรินทร์!M142+หนองคาย!M142+หนองบัวลำภู!M142+อำนาจเจริญ!M142+อุดรธานี!M142+อุบลราชธานี!M142</f>
        <v>3707050</v>
      </c>
      <c r="N142" s="157">
        <f ca="1">กาฬสินธุ์!N142+ขอนแก่น!N142+ชัยภูมิ!N142+นครพนม!N142+นครราชสีมา!N142+บึงกาฬ!N142+บุรีรัมย์!N142+มหาสารคาม!N142+มุกดาหาร!N142+ยโสธร!N142+ร้อยเอ็ด!N142+เลย!N142+ศรีสะเกษ!N142+สกลนคร!N142+สุรินทร์!N142+หนองคาย!N142+หนองบัวลำภู!N142+อำนาจเจริญ!N142+อุดรธานี!N142+อุบลราชธานี!N142</f>
        <v>2506933.79</v>
      </c>
      <c r="O142" s="156">
        <f t="shared" ca="1" si="54"/>
        <v>56.456750779763311</v>
      </c>
      <c r="P142" s="156">
        <f t="shared" ca="1" si="55"/>
        <v>67.626112137683606</v>
      </c>
    </row>
    <row r="143" spans="1:16" ht="21.75" customHeight="1" x14ac:dyDescent="0.45">
      <c r="A143" s="158"/>
      <c r="B143" s="159"/>
      <c r="C143" s="159" t="s">
        <v>16</v>
      </c>
      <c r="D143" s="552" t="s">
        <v>20</v>
      </c>
      <c r="E143" s="553"/>
      <c r="F143" s="55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f>กาฬสินธุ์!L143+ขอนแก่น!L143+ชัยภูมิ!L143+นครพนม!L143+นครราชสีมา!L143+บึงกาฬ!L143+บุรีรัมย์!L143+มหาสารคาม!L143+มุกดาหาร!L143+ยโสธร!L143+ร้อยเอ็ด!L143+เลย!L143+ศรีสะเกษ!L143+สกลนคร!L143+สุรินทร์!L143+หนองคาย!L143+หนองบัวลำภู!L143+อำนาจเจริญ!L143+อุดรธานี!L143+อุบลราชธานี!L143</f>
        <v>0</v>
      </c>
      <c r="M143" s="164">
        <f>กาฬสินธุ์!M143+ขอนแก่น!M143+ชัยภูมิ!M143+นครพนม!M143+นครราชสีมา!M143+บึงกาฬ!M143+บุรีรัมย์!M143+มหาสารคาม!M143+มุกดาหาร!M143+ยโสธร!M143+ร้อยเอ็ด!M143+เลย!M143+ศรีสะเกษ!M143+สกลนคร!M143+สุรินทร์!M143+หนองคาย!M143+หนองบัวลำภู!M143+อำนาจเจริญ!M143+อุดรธานี!M143+อุบลราชธานี!M143</f>
        <v>0</v>
      </c>
      <c r="N143" s="164">
        <f>กาฬสินธุ์!N143+ขอนแก่น!N143+ชัยภูมิ!N143+นครพนม!N143+นครราชสีมา!N143+บึงกาฬ!N143+บุรีรัมย์!N143+มหาสารคาม!N143+มุกดาหาร!N143+ยโสธร!N143+ร้อยเอ็ด!N143+เลย!N143+ศรีสะเกษ!N143+สกลนคร!N143+สุรินทร์!N143+หนองคาย!N143+หนองบัวลำภู!N143+อำนาจเจริญ!N143+อุดรธานี!N143+อุบลราชธานี!N143</f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กาฬสินธุ์!L144+ขอนแก่น!L144+ชัยภูมิ!L144+นครพนม!L144+นครราชสีมา!L144+บึงกาฬ!L144+บุรีรัมย์!L144+มหาสารคาม!L144+มุกดาหาร!L144+ยโสธร!L144+ร้อยเอ็ด!L144+เลย!L144+ศรีสะเกษ!L144+สกลนคร!L144+สุรินทร์!L144+หนองคาย!L144+หนองบัวลำภู!L144+อำนาจเจริญ!L144+อุดรธานี!L144+อุบลราชธานี!L144</f>
        <v>4440450</v>
      </c>
      <c r="M144" s="168">
        <f ca="1">กาฬสินธุ์!M144+ขอนแก่น!M144+ชัยภูมิ!M144+นครพนม!M144+นครราชสีมา!M144+บึงกาฬ!M144+บุรีรัมย์!M144+มหาสารคาม!M144+มุกดาหาร!M144+ยโสธร!M144+ร้อยเอ็ด!M144+เลย!M144+ศรีสะเกษ!M144+สกลนคร!M144+สุรินทร์!M144+หนองคาย!M144+หนองบัวลำภู!M144+อำนาจเจริญ!M144+อุดรธานี!M144+อุบลราชธานี!M144</f>
        <v>3707050</v>
      </c>
      <c r="N144" s="169">
        <f ca="1">กาฬสินธุ์!N144+ขอนแก่น!N144+ชัยภูมิ!N144+นครพนม!N144+นครราชสีมา!N144+บึงกาฬ!N144+บุรีรัมย์!N144+มหาสารคาม!N144+มุกดาหาร!N144+ยโสธร!N144+ร้อยเอ็ด!N144+เลย!N144+ศรีสะเกษ!N144+สกลนคร!N144+สุรินทร์!N144+หนองคาย!N144+หนองบัวลำภู!N144+อำนาจเจริญ!N144+อุดรธานี!N144+อุบลราชธานี!N144</f>
        <v>2506933.79</v>
      </c>
      <c r="O144" s="169">
        <f ca="1">IF(L144&gt;0,N144*100/L144,0)</f>
        <v>56.456750779763311</v>
      </c>
      <c r="P144" s="169">
        <f ca="1">IF(M144&gt;0,N144*100/M144,0)</f>
        <v>67.626112137683606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กาฬสินธุ์!L145+ขอนแก่น!L145+ชัยภูมิ!L145+นครพนม!L145+นครราชสีมา!L145+บึงกาฬ!L145+บุรีรัมย์!L145+มหาสารคาม!L145+มุกดาหาร!L145+ยโสธร!L145+ร้อยเอ็ด!L145+เลย!L145+ศรีสะเกษ!L145+สกลนคร!L145+สุรินทร์!L145+หนองคาย!L145+หนองบัวลำภู!L145+อำนาจเจริญ!L145+อุดรธานี!L145+อุบลราชธานี!L145</f>
        <v>1888800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กาฬสินธุ์!L146+ขอนแก่น!L146+ชัยภูมิ!L146+นครพนม!L146+นครราชสีมา!L146+บึงกาฬ!L146+บุรีรัมย์!L146+มหาสารคาม!L146+มุกดาหาร!L146+ยโสธร!L146+ร้อยเอ็ด!L146+เลย!L146+ศรีสะเกษ!L146+สกลนคร!L146+สุรินทร์!L146+หนองคาย!L146+หนองบัวลำภู!L146+อำนาจเจริญ!L146+อุดรธานี!L146+อุบลราชธานี!L146</f>
        <v>2551650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52" t="s">
        <v>23</v>
      </c>
      <c r="E147" s="553"/>
      <c r="F147" s="89"/>
      <c r="G147" s="82" t="s">
        <v>18</v>
      </c>
      <c r="H147" s="172" t="s">
        <v>12</v>
      </c>
      <c r="I147" s="188"/>
      <c r="J147" s="188"/>
      <c r="K147" s="224"/>
      <c r="L147" s="41">
        <f>กาฬสินธุ์!L147+ขอนแก่น!L147+ชัยภูมิ!L147+นครพนม!L147+นครราชสีมา!L147+บึงกาฬ!L147+บุรีรัมย์!L147+มหาสารคาม!L147+มุกดาหาร!L147+ยโสธร!L147+ร้อยเอ็ด!L147+เลย!L147+ศรีสะเกษ!L147+สกลนคร!L147+สุรินทร์!L147+หนองคาย!L147+หนองบัวลำภู!L147+อำนาจเจริญ!L147+อุดรธานี!L147+อุบลราชธานี!L147</f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กาฬสินธุ์!L148+ขอนแก่น!L148+ชัยภูมิ!L148+นครพนม!L148+นครราชสีมา!L148+บึงกาฬ!L148+บุรีรัมย์!L148+มหาสารคาม!L148+มุกดาหาร!L148+ยโสธร!L148+ร้อยเอ็ด!L148+เลย!L148+ศรีสะเกษ!L148+สกลนคร!L148+สุรินทร์!L148+หนองคาย!L148+หนองบัวลำภู!L148+อำนาจเจริญ!L148+อุดรธานี!L148+อุบลราชธานี!L148</f>
        <v>0</v>
      </c>
      <c r="M148" s="49"/>
      <c r="N148" s="49">
        <f ca="1">กาฬสินธุ์!N148+ขอนแก่น!N148+ชัยภูมิ!N148+นครพนม!N148+นครราชสีมา!N148+บึงกาฬ!N148+บุรีรัมย์!N148+มหาสารคาม!N148+มุกดาหาร!N148+ยโสธร!N148+ร้อยเอ็ด!N148+เลย!N148+ศรีสะเกษ!N148+สกลนคร!N148+สุรินทร์!N148+หนองคาย!N148+หนองบัวลำภู!N148+อำนาจเจริญ!N148+อุดรธานี!N148+อุบลราชธานี!N148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กาฬสินธุ์!I149+ขอนแก่น!I149+ชัยภูมิ!I149+นครพนม!I149+นครราชสีมา!I149+บึงกาฬ!I149+บุรีรัมย์!I149+มหาสารคาม!I149+มุกดาหาร!I149+ยโสธร!I149+ร้อยเอ็ด!I149+เลย!I149+ศรีสะเกษ!I149+สกลนคร!I149+สุรินทร์!I149+หนองคาย!I149+หนองบัวลำภู!I149+อำนาจเจริญ!I149+อุดรธานี!I149+อุบลราชธานี!I149</f>
        <v>80</v>
      </c>
      <c r="J149" s="275">
        <f ca="1">กาฬสินธุ์!J149+ขอนแก่น!J149+ชัยภูมิ!J149+นครพนม!J149+นครราชสีมา!J149+บึงกาฬ!J149+บุรีรัมย์!J149+มหาสารคาม!J149+มุกดาหาร!J149+ยโสธร!J149+ร้อยเอ็ด!J149+เลย!J149+ศรีสะเกษ!J149+สกลนคร!J149+สุรินทร์!J149+หนองคาย!J149+หนองบัวลำภู!J149+อำนาจเจริญ!J149+อุดรธานี!J149+อุบลราชธานี!J149</f>
        <v>35</v>
      </c>
      <c r="K149" s="276">
        <f ca="1">IF(I149&gt;0,J149*100/I149,0)</f>
        <v>43.75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กาฬสินธุ์!J154+ขอนแก่น!J154+ชัยภูมิ!J154+นครพนม!J154+นครราชสีมา!J154+บึงกาฬ!J154+บุรีรัมย์!J154+มหาสารคาม!J154+มุกดาหาร!J154+ยโสธร!J154+ร้อยเอ็ด!J154+เลย!J154+ศรีสะเกษ!J154+สกลนคร!J154+สุรินทร์!J154+หนองคาย!J154+หนองบัวลำภู!J154+อำนาจเจริญ!J154+อุดรธานี!J154+อุบลราชธานี!J154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กาฬสินธุ์!J155+ขอนแก่น!J155+ชัยภูมิ!J155+นครพนม!J155+นครราชสีมา!J155+บึงกาฬ!J155+บุรีรัมย์!J155+มหาสารคาม!J155+มุกดาหาร!J155+ยโสธร!J155+ร้อยเอ็ด!J155+เลย!J155+ศรีสะเกษ!J155+สกลนคร!J155+สุรินทร์!J155+หนองคาย!J155+หนองบัวลำภู!J155+อำนาจเจริญ!J155+อุดรธานี!J155+อุบลราชธานี!J155</f>
        <v>20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กาฬสินธุ์!J156+ขอนแก่น!J156+ชัยภูมิ!J156+นครพนม!J156+นครราชสีมา!J156+บึงกาฬ!J156+บุรีรัมย์!J156+มหาสารคาม!J156+มุกดาหาร!J156+ยโสธร!J156+ร้อยเอ็ด!J156+เลย!J156+ศรีสะเกษ!J156+สกลนคร!J156+สุรินทร์!J156+หนองคาย!J156+หนองบัวลำภู!J156+อำนาจเจริญ!J156+อุดรธานี!J156+อุบลราชธานี!J156</f>
        <v>15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กาฬสินธุ์!J157+ขอนแก่น!J157+ชัยภูมิ!J157+นครพนม!J157+นครราชสีมา!J157+บึงกาฬ!J157+บุรีรัมย์!J157+มหาสารคาม!J157+มุกดาหาร!J157+ยโสธร!J157+ร้อยเอ็ด!J157+เลย!J157+ศรีสะเกษ!J157+สกลนคร!J157+สุรินทร์!J157+หนองคาย!J157+หนองบัวลำภู!J157+อำนาจเจริญ!J157+อุดรธานี!J157+อุบลราชธานี!J157</f>
        <v>13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กาฬสินธุ์!I158+ขอนแก่น!I158+ชัยภูมิ!I158+นครพนม!I158+นครราชสีมา!I158+บึงกาฬ!I158+บุรีรัมย์!I158+มหาสารคาม!I158+มุกดาหาร!I158+ยโสธร!I158+ร้อยเอ็ด!I158+เลย!I158+ศรีสะเกษ!I158+สกลนคร!I158+สุรินทร์!I158+หนองคาย!I158+หนองบัวลำภู!I158+อำนาจเจริญ!I158+อุดรธานี!I158+อุบลราชธานี!I158</f>
        <v>80</v>
      </c>
      <c r="J158" s="189">
        <f ca="1">กาฬสินธุ์!J158+ขอนแก่น!J158+ชัยภูมิ!J158+นครพนม!J158+นครราชสีมา!J158+บึงกาฬ!J158+บุรีรัมย์!J158+มหาสารคาม!J158+มุกดาหาร!J158+ยโสธร!J158+ร้อยเอ็ด!J158+เลย!J158+ศรีสะเกษ!J158+สกลนคร!J158+สุรินทร์!J158+หนองคาย!J158+หนองบัวลำภู!J158+อำนาจเจริญ!J158+อุดรธานี!J158+อุบลราชธานี!J158</f>
        <v>35</v>
      </c>
      <c r="K158" s="163">
        <f ca="1">IF(I158&gt;0,J158*100/I158,0)</f>
        <v>43.75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กาฬสินธุ์!J159+ขอนแก่น!J159+ชัยภูมิ!J159+นครพนม!J159+นครราชสีมา!J159+บึงกาฬ!J159+บุรีรัมย์!J159+มหาสารคาม!J159+มุกดาหาร!J159+ยโสธร!J159+ร้อยเอ็ด!J159+เลย!J159+ศรีสะเกษ!J159+สกลนคร!J159+สุรินทร์!J159+หนองคาย!J159+หนองบัวลำภู!J159+อำนาจเจริญ!J159+อุดรธานี!J159+อุบลราชธานี!J159</f>
        <v>888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กาฬสินธุ์!J160+ขอนแก่น!J160+ชัยภูมิ!J160+นครพนม!J160+นครราชสีมา!J160+บึงกาฬ!J160+บุรีรัมย์!J160+มหาสารคาม!J160+มุกดาหาร!J160+ยโสธร!J160+ร้อยเอ็ด!J160+เลย!J160+ศรีสะเกษ!J160+สกลนคร!J160+สุรินทร์!J160+หนองคาย!J160+หนองบัวลำภู!J160+อำนาจเจริญ!J160+อุดรธานี!J160+อุบลราชธานี!J160</f>
        <v>888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กาฬสินธุ์!J161+ขอนแก่น!J161+ชัยภูมิ!J161+นครพนม!J161+นครราชสีมา!J161+บึงกาฬ!J161+บุรีรัมย์!J161+มหาสารคาม!J161+มุกดาหาร!J161+ยโสธร!J161+ร้อยเอ็ด!J161+เลย!J161+ศรีสะเกษ!J161+สกลนคร!J161+สุรินทร์!J161+หนองคาย!J161+หนองบัวลำภู!J161+อำนาจเจริญ!J161+อุดรธานี!J161+อุบลราชธานี!J161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กาฬสินธุ์!J162+ขอนแก่น!J162+ชัยภูมิ!J162+นครพนม!J162+นครราชสีมา!J162+บึงกาฬ!J162+บุรีรัมย์!J162+มหาสารคาม!J162+มุกดาหาร!J162+ยโสธร!J162+ร้อยเอ็ด!J162+เลย!J162+ศรีสะเกษ!J162+สกลนคร!J162+สุรินทร์!J162+หนองคาย!J162+หนองบัวลำภู!J162+อำนาจเจริญ!J162+อุดรธานี!J162+อุบลราชธานี!J162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กาฬสินธุ์!J163+ขอนแก่น!J163+ชัยภูมิ!J163+นครพนม!J163+นครราชสีมา!J163+บึงกาฬ!J163+บุรีรัมย์!J163+มหาสารคาม!J163+มุกดาหาร!J163+ยโสธร!J163+ร้อยเอ็ด!J163+เลย!J163+ศรีสะเกษ!J163+สกลนคร!J163+สุรินทร์!J163+หนองคาย!J163+หนองบัวลำภู!J163+อำนาจเจริญ!J163+อุดรธานี!J163+อุบลราชธานี!J163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กาฬสินธุ์!I164+ขอนแก่น!I164+ชัยภูมิ!I164+นครพนม!I164+นครราชสีมา!I164+บึงกาฬ!I164+บุรีรัมย์!I164+มหาสารคาม!I164+มุกดาหาร!I164+ยโสธร!I164+ร้อยเอ็ด!I164+เลย!I164+ศรีสะเกษ!I164+สกลนคร!I164+สุรินทร์!I164+หนองคาย!I164+หนองบัวลำภู!I164+อำนาจเจริญ!I164+อุดรธานี!I164+อุบลราชธานี!I164</f>
        <v>66</v>
      </c>
      <c r="J164" s="284">
        <f ca="1">กาฬสินธุ์!J164+ขอนแก่น!J164+ชัยภูมิ!J164+นครพนม!J164+นครราชสีมา!J164+บึงกาฬ!J164+บุรีรัมย์!J164+มหาสารคาม!J164+มุกดาหาร!J164+ยโสธร!J164+ร้อยเอ็ด!J164+เลย!J164+ศรีสะเกษ!J164+สกลนคร!J164+สุรินทร์!J164+หนองคาย!J164+หนองบัวลำภู!J164+อำนาจเจริญ!J164+อุดรธานี!J164+อุบลราชธานี!J164</f>
        <v>58</v>
      </c>
      <c r="K164" s="285">
        <f ca="1">IF(I164&gt;0,J164*100/I164,0)</f>
        <v>87.878787878787875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กาฬสินธุ์!J169+ขอนแก่น!J169+ชัยภูมิ!J169+นครพนม!J169+นครราชสีมา!J169+บึงกาฬ!J169+บุรีรัมย์!J169+มหาสารคาม!J169+มุกดาหาร!J169+ยโสธร!J169+ร้อยเอ็ด!J169+เลย!J169+ศรีสะเกษ!J169+สกลนคร!J169+สุรินทร์!J169+หนองคาย!J169+หนองบัวลำภู!J169+อำนาจเจริญ!J169+อุดรธานี!J169+อุบลราชธานี!J169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กาฬสินธุ์!J170+ขอนแก่น!J170+ชัยภูมิ!J170+นครพนม!J170+นครราชสีมา!J170+บึงกาฬ!J170+บุรีรัมย์!J170+มหาสารคาม!J170+มุกดาหาร!J170+ยโสธร!J170+ร้อยเอ็ด!J170+เลย!J170+ศรีสะเกษ!J170+สกลนคร!J170+สุรินทร์!J170+หนองคาย!J170+หนองบัวลำภู!J170+อำนาจเจริญ!J170+อุดรธานี!J170+อุบลราชธานี!J170</f>
        <v>19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กาฬสินธุ์!J171+ขอนแก่น!J171+ชัยภูมิ!J171+นครพนม!J171+นครราชสีมา!J171+บึงกาฬ!J171+บุรีรัมย์!J171+มหาสารคาม!J171+มุกดาหาร!J171+ยโสธร!J171+ร้อยเอ็ด!J171+เลย!J171+ศรีสะเกษ!J171+สกลนคร!J171+สุรินทร์!J171+หนองคาย!J171+หนองบัวลำภู!J171+อำนาจเจริญ!J171+อุดรธานี!J171+อุบลราชธานี!J171</f>
        <v>19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กาฬสินธุ์!J172+ขอนแก่น!J172+ชัยภูมิ!J172+นครพนม!J172+นครราชสีมา!J172+บึงกาฬ!J172+บุรีรัมย์!J172+มหาสารคาม!J172+มุกดาหาร!J172+ยโสธร!J172+ร้อยเอ็ด!J172+เลย!J172+ศรีสะเกษ!J172+สกลนคร!J172+สุรินทร์!J172+หนองคาย!J172+หนองบัวลำภู!J172+อำนาจเจริญ!J172+อุดรธานี!J172+อุบลราชธานี!J172</f>
        <v>14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กาฬสินธุ์!I173+ขอนแก่น!I173+ชัยภูมิ!I173+นครพนม!I173+นครราชสีมา!I173+บึงกาฬ!I173+บุรีรัมย์!I173+มหาสารคาม!I173+มุกดาหาร!I173+ยโสธร!I173+ร้อยเอ็ด!I173+เลย!I173+ศรีสะเกษ!I173+สกลนคร!I173+สุรินทร์!I173+หนองคาย!I173+หนองบัวลำภู!I173+อำนาจเจริญ!I173+อุดรธานี!I173+อุบลราชธานี!I173</f>
        <v>66</v>
      </c>
      <c r="J173" s="189">
        <f ca="1">กาฬสินธุ์!J173+ขอนแก่น!J173+ชัยภูมิ!J173+นครพนม!J173+นครราชสีมา!J173+บึงกาฬ!J173+บุรีรัมย์!J173+มหาสารคาม!J173+มุกดาหาร!J173+ยโสธร!J173+ร้อยเอ็ด!J173+เลย!J173+ศรีสะเกษ!J173+สกลนคร!J173+สุรินทร์!J173+หนองคาย!J173+หนองบัวลำภู!J173+อำนาจเจริญ!J173+อุดรธานี!J173+อุบลราชธานี!J173</f>
        <v>58</v>
      </c>
      <c r="K173" s="163">
        <f ca="1">IF(I173&gt;0,J173*100/I173,0)</f>
        <v>87.878787878787875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กาฬสินธุ์!J174+ขอนแก่น!J174+ชัยภูมิ!J174+นครพนม!J174+นครราชสีมา!J174+บึงกาฬ!J174+บุรีรัมย์!J174+มหาสารคาม!J174+มุกดาหาร!J174+ยโสธร!J174+ร้อยเอ็ด!J174+เลย!J174+ศรีสะเกษ!J174+สกลนคร!J174+สุรินทร์!J174+หนองคาย!J174+หนองบัวลำภู!J174+อำนาจเจริญ!J174+อุดรธานี!J174+อุบลราชธานี!J174</f>
        <v>4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กาฬสินธุ์!J175+ขอนแก่น!J175+ชัยภูมิ!J175+นครพนม!J175+นครราชสีมา!J175+บึงกาฬ!J175+บุรีรัมย์!J175+มหาสารคาม!J175+มุกดาหาร!J175+ยโสธร!J175+ร้อยเอ็ด!J175+เลย!J175+ศรีสะเกษ!J175+สกลนคร!J175+สุรินทร์!J175+หนองคาย!J175+หนองบัวลำภู!J175+อำนาจเจริญ!J175+อุดรธานี!J175+อุบลราชธานี!J175</f>
        <v>2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กาฬสินธุ์!I176+ขอนแก่น!I176+ชัยภูมิ!I176+นครพนม!I176+นครราชสีมา!I176+บึงกาฬ!I176+บุรีรัมย์!I176+มหาสารคาม!I176+มุกดาหาร!I176+ยโสธร!I176+ร้อยเอ็ด!I176+เลย!I176+ศรีสะเกษ!I176+สกลนคร!I176+สุรินทร์!I176+หนองคาย!I176+หนองบัวลำภู!I176+อำนาจเจริญ!I176+อุดรธานี!I176+อุบลราชธานี!I176</f>
        <v>27</v>
      </c>
      <c r="J176" s="284">
        <f ca="1">กาฬสินธุ์!J176+ขอนแก่น!J176+ชัยภูมิ!J176+นครพนม!J176+นครราชสีมา!J176+บึงกาฬ!J176+บุรีรัมย์!J176+มหาสารคาม!J176+มุกดาหาร!J176+ยโสธร!J176+ร้อยเอ็ด!J176+เลย!J176+ศรีสะเกษ!J176+สกลนคร!J176+สุรินทร์!J176+หนองคาย!J176+หนองบัวลำภู!J176+อำนาจเจริญ!J176+อุดรธานี!J176+อุบลราชธานี!J176</f>
        <v>26</v>
      </c>
      <c r="K176" s="285">
        <f ca="1">IF(I176&gt;0,J176*100/I176,0)</f>
        <v>96.296296296296291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กาฬสินธุ์!J181+ขอนแก่น!J181+ชัยภูมิ!J181+นครพนม!J181+นครราชสีมา!J181+บึงกาฬ!J181+บุรีรัมย์!J181+มหาสารคาม!J181+มุกดาหาร!J181+ยโสธร!J181+ร้อยเอ็ด!J181+เลย!J181+ศรีสะเกษ!J181+สกลนคร!J181+สุรินทร์!J181+หนองคาย!J181+หนองบัวลำภู!J181+อำนาจเจริญ!J181+อุดรธานี!J181+อุบลราชธานี!J181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กาฬสินธุ์!J182+ขอนแก่น!J182+ชัยภูมิ!J182+นครพนม!J182+นครราชสีมา!J182+บึงกาฬ!J182+บุรีรัมย์!J182+มหาสารคาม!J182+มุกดาหาร!J182+ยโสธร!J182+ร้อยเอ็ด!J182+เลย!J182+ศรีสะเกษ!J182+สกลนคร!J182+สุรินทร์!J182+หนองคาย!J182+หนองบัวลำภู!J182+อำนาจเจริญ!J182+อุดรธานี!J182+อุบลราชธานี!J182</f>
        <v>13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กาฬสินธุ์!J183+ขอนแก่น!J183+ชัยภูมิ!J183+นครพนม!J183+นครราชสีมา!J183+บึงกาฬ!J183+บุรีรัมย์!J183+มหาสารคาม!J183+มุกดาหาร!J183+ยโสธร!J183+ร้อยเอ็ด!J183+เลย!J183+ศรีสะเกษ!J183+สกลนคร!J183+สุรินทร์!J183+หนองคาย!J183+หนองบัวลำภู!J183+อำนาจเจริญ!J183+อุดรธานี!J183+อุบลราชธานี!J183</f>
        <v>11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กาฬสินธุ์!J184+ขอนแก่น!J184+ชัยภูมิ!J184+นครพนม!J184+นครราชสีมา!J184+บึงกาฬ!J184+บุรีรัมย์!J184+มหาสารคาม!J184+มุกดาหาร!J184+ยโสธร!J184+ร้อยเอ็ด!J184+เลย!J184+ศรีสะเกษ!J184+สกลนคร!J184+สุรินทร์!J184+หนองคาย!J184+หนองบัวลำภู!J184+อำนาจเจริญ!J184+อุดรธานี!J184+อุบลราชธานี!J184</f>
        <v>10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กาฬสินธุ์!I185+ขอนแก่น!I185+ชัยภูมิ!I185+นครพนม!I185+นครราชสีมา!I185+บึงกาฬ!I185+บุรีรัมย์!I185+มหาสารคาม!I185+มุกดาหาร!I185+ยโสธร!I185+ร้อยเอ็ด!I185+เลย!I185+ศรีสะเกษ!I185+สกลนคร!I185+สุรินทร์!I185+หนองคาย!I185+หนองบัวลำภู!I185+อำนาจเจริญ!I185+อุดรธานี!I185+อุบลราชธานี!I185</f>
        <v>27</v>
      </c>
      <c r="J185" s="204">
        <f ca="1">กาฬสินธุ์!J185+ขอนแก่น!J185+ชัยภูมิ!J185+นครพนม!J185+นครราชสีมา!J185+บึงกาฬ!J185+บุรีรัมย์!J185+มหาสารคาม!J185+มุกดาหาร!J185+ยโสธร!J185+ร้อยเอ็ด!J185+เลย!J185+ศรีสะเกษ!J185+สกลนคร!J185+สุรินทร์!J185+หนองคาย!J185+หนองบัวลำภู!J185+อำนาจเจริญ!J185+อุดรธานี!J185+อุบลราชธานี!J185</f>
        <v>4</v>
      </c>
      <c r="K185" s="224">
        <f t="shared" ref="K185:K186" ca="1" si="56">IF(I185&gt;0,J185*100/I185,0)</f>
        <v>14.814814814814815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กาฬสินธุ์!I186+ขอนแก่น!I186+ชัยภูมิ!I186+นครพนม!I186+นครราชสีมา!I186+บึงกาฬ!I186+บุรีรัมย์!I186+มหาสารคาม!I186+มุกดาหาร!I186+ยโสธร!I186+ร้อยเอ็ด!I186+เลย!I186+ศรีสะเกษ!I186+สกลนคร!I186+สุรินทร์!I186+หนองคาย!I186+หนองบัวลำภู!I186+อำนาจเจริญ!I186+อุดรธานี!I186+อุบลราชธานี!I186</f>
        <v>27</v>
      </c>
      <c r="J186" s="204">
        <f ca="1">กาฬสินธุ์!J186+ขอนแก่น!J186+ชัยภูมิ!J186+นครพนม!J186+นครราชสีมา!J186+บึงกาฬ!J186+บุรีรัมย์!J186+มหาสารคาม!J186+มุกดาหาร!J186+ยโสธร!J186+ร้อยเอ็ด!J186+เลย!J186+ศรีสะเกษ!J186+สกลนคร!J186+สุรินทร์!J186+หนองคาย!J186+หนองบัวลำภู!J186+อำนาจเจริญ!J186+อุดรธานี!J186+อุบลราชธานี!J186</f>
        <v>26</v>
      </c>
      <c r="K186" s="224">
        <f t="shared" ca="1" si="56"/>
        <v>96.296296296296291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กาฬสินธุ์!J187+ขอนแก่น!J187+ชัยภูมิ!J187+นครพนม!J187+นครราชสีมา!J187+บึงกาฬ!J187+บุรีรัมย์!J187+มหาสารคาม!J187+มุกดาหาร!J187+ยโสธร!J187+ร้อยเอ็ด!J187+เลย!J187+ศรีสะเกษ!J187+สกลนคร!J187+สุรินทร์!J187+หนองคาย!J187+หนองบัวลำภู!J187+อำนาจเจริญ!J187+อุดรธานี!J187+อุบลราชธานี!J187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กาฬสินธุ์!J188+ขอนแก่น!J188+ชัยภูมิ!J188+นครพนม!J188+นครราชสีมา!J188+บึงกาฬ!J188+บุรีรัมย์!J188+มหาสารคาม!J188+มุกดาหาร!J188+ยโสธร!J188+ร้อยเอ็ด!J188+เลย!J188+ศรีสะเกษ!J188+สกลนคร!J188+สุรินทร์!J188+หนองคาย!J188+หนองบัวลำภู!J188+อำนาจเจริญ!J188+อุดรธานี!J188+อุบลราชธานี!J188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กาฬสินธุ์!I189+ขอนแก่น!I189+ชัยภูมิ!I189+นครพนม!I189+นครราชสีมา!I189+บึงกาฬ!I189+บุรีรัมย์!I189+มหาสารคาม!I189+มุกดาหาร!I189+ยโสธร!I189+ร้อยเอ็ด!I189+เลย!I189+ศรีสะเกษ!I189+สกลนคร!I189+สุรินทร์!I189+หนองคาย!I189+หนองบัวลำภู!I189+อำนาจเจริญ!I189+อุดรธานี!I189+อุบลราชธานี!I189</f>
        <v>943800</v>
      </c>
      <c r="J189" s="284">
        <f ca="1">กาฬสินธุ์!J189+ขอนแก่น!J189+ชัยภูมิ!J189+นครพนม!J189+นครราชสีมา!J189+บึงกาฬ!J189+บุรีรัมย์!J189+มหาสารคาม!J189+มุกดาหาร!J189+ยโสธร!J189+ร้อยเอ็ด!J189+เลย!J189+ศรีสะเกษ!J189+สกลนคร!J189+สุรินทร์!J189+หนองคาย!J189+หนองบัวลำภู!J189+อำนาจเจริญ!J189+อุดรธานี!J189+อุบลราชธานี!J189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กาฬสินธุ์!J194+ขอนแก่น!J194+ชัยภูมิ!J194+นครพนม!J194+นครราชสีมา!J194+บึงกาฬ!J194+บุรีรัมย์!J194+มหาสารคาม!J194+มุกดาหาร!J194+ยโสธร!J194+ร้อยเอ็ด!J194+เลย!J194+ศรีสะเกษ!J194+สกลนคร!J194+สุรินทร์!J194+หนองคาย!J194+หนองบัวลำภู!J194+อำนาจเจริญ!J194+อุดรธานี!J194+อุบลราชธานี!J194</f>
        <v>1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กาฬสินธุ์!J195+ขอนแก่น!J195+ชัยภูมิ!J195+นครพนม!J195+นครราชสีมา!J195+บึงกาฬ!J195+บุรีรัมย์!J195+มหาสารคาม!J195+มุกดาหาร!J195+ยโสธร!J195+ร้อยเอ็ด!J195+เลย!J195+ศรีสะเกษ!J195+สกลนคร!J195+สุรินทร์!J195+หนองคาย!J195+หนองบัวลำภู!J195+อำนาจเจริญ!J195+อุดรธานี!J195+อุบลราชธานี!J195</f>
        <v>19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กาฬสินธุ์!J196+ขอนแก่น!J196+ชัยภูมิ!J196+นครพนม!J196+นครราชสีมา!J196+บึงกาฬ!J196+บุรีรัมย์!J196+มหาสารคาม!J196+มุกดาหาร!J196+ยโสธร!J196+ร้อยเอ็ด!J196+เลย!J196+ศรีสะเกษ!J196+สกลนคร!J196+สุรินทร์!J196+หนองคาย!J196+หนองบัวลำภู!J196+อำนาจเจริญ!J196+อุดรธานี!J196+อุบลราชธานี!J196</f>
        <v>15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กาฬสินธุ์!J197+ขอนแก่น!J197+ชัยภูมิ!J197+นครพนม!J197+นครราชสีมา!J197+บึงกาฬ!J197+บุรีรัมย์!J197+มหาสารคาม!J197+มุกดาหาร!J197+ยโสธร!J197+ร้อยเอ็ด!J197+เลย!J197+ศรีสะเกษ!J197+สกลนคร!J197+สุรินทร์!J197+หนองคาย!J197+หนองบัวลำภู!J197+อำนาจเจริญ!J197+อุดรธานี!J197+อุบลราชธานี!J197</f>
        <v>10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>
        <f>กาฬสินธุ์!J198+ขอนแก่น!J198+ชัยภูมิ!J198+นครพนม!J198+นครราชสีมา!J198+บึงกาฬ!J198+บุรีรัมย์!J198+มหาสารคาม!J198+มุกดาหาร!J198+ยโสธร!J198+ร้อยเอ็ด!J198+เลย!J198+ศรีสะเกษ!J198+สกลนคร!J198+สุรินทร์!J198+หนองคาย!J198+หนองบัวลำภู!J198+อำนาจเจริญ!J198+อุดรธานี!J198+อุบลราชธานี!J198</f>
        <v>0</v>
      </c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กาฬสินธุ์!I199+ขอนแก่น!I199+ชัยภูมิ!I199+นครพนม!I199+นครราชสีมา!I199+บึงกาฬ!I199+บุรีรัมย์!I199+มหาสารคาม!I199+มุกดาหาร!I199+ยโสธร!I199+ร้อยเอ็ด!I199+เลย!I199+ศรีสะเกษ!I199+สกลนคร!I199+สุรินทร์!I199+หนองคาย!I199+หนองบัวลำภู!I199+อำนาจเจริญ!I199+อุดรธานี!I199+อุบลราชธานี!I199</f>
        <v>943800</v>
      </c>
      <c r="J199" s="189">
        <f ca="1">กาฬสินธุ์!J199+ขอนแก่น!J199+ชัยภูมิ!J199+นครพนม!J199+นครราชสีมา!J199+บึงกาฬ!J199+บุรีรัมย์!J199+มหาสารคาม!J199+มุกดาหาร!J199+ยโสธร!J199+ร้อยเอ็ด!J199+เลย!J199+ศรีสะเกษ!J199+สกลนคร!J199+สุรินทร์!J199+หนองคาย!J199+หนองบัวลำภู!J199+อำนาจเจริญ!J199+อุดรธานี!J199+อุบลราชธานี!J199</f>
        <v>316800</v>
      </c>
      <c r="K199" s="163">
        <f t="shared" ref="K199:K201" ca="1" si="57">IF(I199&gt;0,J199*100/I199,0)</f>
        <v>33.566433566433567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กาฬสินธุ์!I200+ขอนแก่น!I200+ชัยภูมิ!I200+นครพนม!I200+นครราชสีมา!I200+บึงกาฬ!I200+บุรีรัมย์!I200+มหาสารคาม!I200+มุกดาหาร!I200+ยโสธร!I200+ร้อยเอ็ด!I200+เลย!I200+ศรีสะเกษ!I200+สกลนคร!I200+สุรินทร์!I200+หนองคาย!I200+หนองบัวลำภู!I200+อำนาจเจริญ!I200+อุดรธานี!I200+อุบลราชธานี!I200</f>
        <v>943800</v>
      </c>
      <c r="J200" s="189">
        <f ca="1">กาฬสินธุ์!J200+ขอนแก่น!J200+ชัยภูมิ!J200+นครพนม!J200+นครราชสีมา!J200+บึงกาฬ!J200+บุรีรัมย์!J200+มหาสารคาม!J200+มุกดาหาร!J200+ยโสธร!J200+ร้อยเอ็ด!J200+เลย!J200+ศรีสะเกษ!J200+สกลนคร!J200+สุรินทร์!J200+หนองคาย!J200+หนองบัวลำภู!J200+อำนาจเจริญ!J200+อุดรธานี!J200+อุบลราชธานี!J200</f>
        <v>0</v>
      </c>
      <c r="K200" s="163">
        <f t="shared" ca="1" si="57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กาฬสินธุ์!I201+ขอนแก่น!I201+ชัยภูมิ!I201+นครพนม!I201+นครราชสีมา!I201+บึงกาฬ!I201+บุรีรัมย์!I201+มหาสารคาม!I201+มุกดาหาร!I201+ยโสธร!I201+ร้อยเอ็ด!I201+เลย!I201+ศรีสะเกษ!I201+สกลนคร!I201+สุรินทร์!I201+หนองคาย!I201+หนองบัวลำภู!I201+อำนาจเจริญ!I201+อุดรธานี!I201+อุบลราชธานี!I201</f>
        <v>60</v>
      </c>
      <c r="J201" s="189">
        <f ca="1">กาฬสินธุ์!J201+ขอนแก่น!J201+ชัยภูมิ!J201+นครพนม!J201+นครราชสีมา!J201+บึงกาฬ!J201+บุรีรัมย์!J201+มหาสารคาม!J201+มุกดาหาร!J201+ยโสธร!J201+ร้อยเอ็ด!J201+เลย!J201+ศรีสะเกษ!J201+สกลนคร!J201+สุรินทร์!J201+หนองคาย!J201+หนองบัวลำภู!J201+อำนาจเจริญ!J201+อุดรธานี!J201+อุบลราชธานี!J201</f>
        <v>60</v>
      </c>
      <c r="K201" s="163">
        <f t="shared" ca="1" si="57"/>
        <v>100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กาฬสินธุ์!J202+ขอนแก่น!J202+ชัยภูมิ!J202+นครพนม!J202+นครราชสีมา!J202+บึงกาฬ!J202+บุรีรัมย์!J202+มหาสารคาม!J202+มุกดาหาร!J202+ยโสธร!J202+ร้อยเอ็ด!J202+เลย!J202+ศรีสะเกษ!J202+สกลนคร!J202+สุรินทร์!J202+หนองคาย!J202+หนองบัวลำภู!J202+อำนาจเจริญ!J202+อุดรธานี!J202+อุบลราชธานี!J202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กาฬสินธุ์!J203+ขอนแก่น!J203+ชัยภูมิ!J203+นครพนม!J203+นครราชสีมา!J203+บึงกาฬ!J203+บุรีรัมย์!J203+มหาสารคาม!J203+มุกดาหาร!J203+ยโสธร!J203+ร้อยเอ็ด!J203+เลย!J203+ศรีสะเกษ!J203+สกลนคร!J203+สุรินทร์!J203+หนองคาย!J203+หนองบัวลำภู!J203+อำนาจเจริญ!J203+อุดรธานี!J203+อุบลราชธานี!J203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กาฬสินธุ์!I204+ขอนแก่น!I204+ชัยภูมิ!I204+นครพนม!I204+นครราชสีมา!I204+บึงกาฬ!I204+บุรีรัมย์!I204+มหาสารคาม!I204+มุกดาหาร!I204+ยโสธร!I204+ร้อยเอ็ด!I204+เลย!I204+ศรีสะเกษ!I204+สกลนคร!I204+สุรินทร์!I204+หนองคาย!I204+หนองบัวลำภู!I204+อำนาจเจริญ!I204+อุดรธานี!I204+อุบลราชธานี!I204</f>
        <v>100</v>
      </c>
      <c r="J204" s="284">
        <f ca="1">กาฬสินธุ์!J204+ขอนแก่น!J204+ชัยภูมิ!J204+นครพนม!J204+นครราชสีมา!J204+บึงกาฬ!J204+บุรีรัมย์!J204+มหาสารคาม!J204+มุกดาหาร!J204+ยโสธร!J204+ร้อยเอ็ด!J204+เลย!J204+ศรีสะเกษ!J204+สกลนคร!J204+สุรินทร์!J204+หนองคาย!J204+หนองบัวลำภู!J204+อำนาจเจริญ!J204+อุดรธานี!J204+อุบลราชธานี!J204</f>
        <v>100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กาฬสินธุ์!J209+ขอนแก่น!J209+ชัยภูมิ!J209+นครพนม!J209+นครราชสีมา!J209+บึงกาฬ!J209+บุรีรัมย์!J209+มหาสารคาม!J209+มุกดาหาร!J209+ยโสธร!J209+ร้อยเอ็ด!J209+เลย!J209+ศรีสะเกษ!J209+สกลนคร!J209+สุรินทร์!J209+หนองคาย!J209+หนองบัวลำภู!J209+อำนาจเจริญ!J209+อุดรธานี!J209+อุบลราชธานี!J209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กาฬสินธุ์!J210+ขอนแก่น!J210+ชัยภูมิ!J210+นครพนม!J210+นครราชสีมา!J210+บึงกาฬ!J210+บุรีรัมย์!J210+มหาสารคาม!J210+มุกดาหาร!J210+ยโสธร!J210+ร้อยเอ็ด!J210+เลย!J210+ศรีสะเกษ!J210+สกลนคร!J210+สุรินทร์!J210+หนองคาย!J210+หนองบัวลำภู!J210+อำนาจเจริญ!J210+อุดรธานี!J210+อุบลราชธานี!J210</f>
        <v>2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กาฬสินธุ์!J211+ขอนแก่น!J211+ชัยภูมิ!J211+นครพนม!J211+นครราชสีมา!J211+บึงกาฬ!J211+บุรีรัมย์!J211+มหาสารคาม!J211+มุกดาหาร!J211+ยโสธร!J211+ร้อยเอ็ด!J211+เลย!J211+ศรีสะเกษ!J211+สกลนคร!J211+สุรินทร์!J211+หนองคาย!J211+หนองบัวลำภู!J211+อำนาจเจริญ!J211+อุดรธานี!J211+อุบลราชธานี!J211</f>
        <v>2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กาฬสินธุ์!J212+ขอนแก่น!J212+ชัยภูมิ!J212+นครพนม!J212+นครราชสีมา!J212+บึงกาฬ!J212+บุรีรัมย์!J212+มหาสารคาม!J212+มุกดาหาร!J212+ยโสธร!J212+ร้อยเอ็ด!J212+เลย!J212+ศรีสะเกษ!J212+สกลนคร!J212+สุรินทร์!J212+หนองคาย!J212+หนองบัวลำภู!J212+อำนาจเจริญ!J212+อุดรธานี!J212+อุบลราชธานี!J212</f>
        <v>2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กาฬสินธุ์!I213+ขอนแก่น!I213+ชัยภูมิ!I213+นครพนม!I213+นครราชสีมา!I213+บึงกาฬ!I213+บุรีรัมย์!I213+มหาสารคาม!I213+มุกดาหาร!I213+ยโสธร!I213+ร้อยเอ็ด!I213+เลย!I213+ศรีสะเกษ!I213+สกลนคร!I213+สุรินทร์!I213+หนองคาย!I213+หนองบัวลำภู!I213+อำนาจเจริญ!I213+อุดรธานี!I213+อุบลราชธานี!I213</f>
        <v>100</v>
      </c>
      <c r="J213" s="204">
        <f ca="1">กาฬสินธุ์!J213+ขอนแก่น!J213+ชัยภูมิ!J213+นครพนม!J213+นครราชสีมา!J213+บึงกาฬ!J213+บุรีรัมย์!J213+มหาสารคาม!J213+มุกดาหาร!J213+ยโสธร!J213+ร้อยเอ็ด!J213+เลย!J213+ศรีสะเกษ!J213+สกลนคร!J213+สุรินทร์!J213+หนองคาย!J213+หนองบัวลำภู!J213+อำนาจเจริญ!J213+อุดรธานี!J213+อุบลราชธานี!J213</f>
        <v>100</v>
      </c>
      <c r="K213" s="224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>
        <f>กาฬสินธุ์!I214+ขอนแก่น!I214+ชัยภูมิ!I214+นครพนม!I214+นครราชสีมา!I214+บึงกาฬ!I214+บุรีรัมย์!I214+มหาสารคาม!I214+มุกดาหาร!I214+ยโสธร!I214+ร้อยเอ็ด!I214+เลย!I214+ศรีสะเกษ!I214+สกลนคร!I214+สุรินทร์!I214+หนองคาย!I214+หนองบัวลำภู!I214+อำนาจเจริญ!I214+อุดรธานี!I214+อุบลราชธานี!I214</f>
        <v>0</v>
      </c>
      <c r="J214" s="188">
        <f>กาฬสินธุ์!J214+ขอนแก่น!J214+ชัยภูมิ!J214+นครพนม!J214+นครราชสีมา!J214+บึงกาฬ!J214+บุรีรัมย์!J214+มหาสารคาม!J214+มุกดาหาร!J214+ยโสธร!J214+ร้อยเอ็ด!J214+เลย!J214+ศรีสะเกษ!J214+สกลนคร!J214+สุรินทร์!J214+หนองคาย!J214+หนองบัวลำภู!J214+อำนาจเจริญ!J214+อุดรธานี!J214+อุบลราชธานี!J214</f>
        <v>0</v>
      </c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กาฬสินธุ์!I215+ขอนแก่น!I215+ชัยภูมิ!I215+นครพนม!I215+นครราชสีมา!I215+บึงกาฬ!I215+บุรีรัมย์!I215+มหาสารคาม!I215+มุกดาหาร!I215+ยโสธร!I215+ร้อยเอ็ด!I215+เลย!I215+ศรีสะเกษ!I215+สกลนคร!I215+สุรินทร์!I215+หนองคาย!I215+หนองบัวลำภู!I215+อำนาจเจริญ!I215+อุดรธานี!I215+อุบลราชธานี!I215</f>
        <v>50</v>
      </c>
      <c r="J215" s="204">
        <f ca="1">กาฬสินธุ์!J215+ขอนแก่น!J215+ชัยภูมิ!J215+นครพนม!J215+นครราชสีมา!J215+บึงกาฬ!J215+บุรีรัมย์!J215+มหาสารคาม!J215+มุกดาหาร!J215+ยโสธร!J215+ร้อยเอ็ด!J215+เลย!J215+ศรีสะเกษ!J215+สกลนคร!J215+สุรินทร์!J215+หนองคาย!J215+หนองบัวลำภู!J215+อำนาจเจริญ!J215+อุดรธานี!J215+อุบลราชธานี!J215</f>
        <v>0</v>
      </c>
      <c r="K215" s="224">
        <f t="shared" ref="K215:K216" ca="1" si="58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กาฬสินธุ์!I216+ขอนแก่น!I216+ชัยภูมิ!I216+นครพนม!I216+นครราชสีมา!I216+บึงกาฬ!I216+บุรีรัมย์!I216+มหาสารคาม!I216+มุกดาหาร!I216+ยโสธร!I216+ร้อยเอ็ด!I216+เลย!I216+ศรีสะเกษ!I216+สกลนคร!I216+สุรินทร์!I216+หนองคาย!I216+หนองบัวลำภู!I216+อำนาจเจริญ!I216+อุดรธานี!I216+อุบลราชธานี!I216</f>
        <v>16</v>
      </c>
      <c r="J216" s="204">
        <f ca="1">กาฬสินธุ์!J216+ขอนแก่น!J216+ชัยภูมิ!J216+นครพนม!J216+นครราชสีมา!J216+บึงกาฬ!J216+บุรีรัมย์!J216+มหาสารคาม!J216+มุกดาหาร!J216+ยโสธร!J216+ร้อยเอ็ด!J216+เลย!J216+ศรีสะเกษ!J216+สกลนคร!J216+สุรินทร์!J216+หนองคาย!J216+หนองบัวลำภู!J216+อำนาจเจริญ!J216+อุดรธานี!J216+อุบลราชธานี!J216</f>
        <v>0</v>
      </c>
      <c r="K216" s="224">
        <f t="shared" ca="1" si="58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กาฬสินธุ์!J217+ขอนแก่น!J217+ชัยภูมิ!J217+นครพนม!J217+นครราชสีมา!J217+บึงกาฬ!J217+บุรีรัมย์!J217+มหาสารคาม!J217+มุกดาหาร!J217+ยโสธร!J217+ร้อยเอ็ด!J217+เลย!J217+ศรีสะเกษ!J217+สกลนคร!J217+สุรินทร์!J217+หนองคาย!J217+หนองบัวลำภู!J217+อำนาจเจริญ!J217+อุดรธานี!J217+อุบลราชธานี!J217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กาฬสินธุ์!J218+ขอนแก่น!J218+ชัยภูมิ!J218+นครพนม!J218+นครราชสีมา!J218+บึงกาฬ!J218+บุรีรัมย์!J218+มหาสารคาม!J218+มุกดาหาร!J218+ยโสธร!J218+ร้อยเอ็ด!J218+เลย!J218+ศรีสะเกษ!J218+สกลนคร!J218+สุรินทร์!J218+หนองคาย!J218+หนองบัวลำภู!J218+อำนาจเจริญ!J218+อุดรธานี!J218+อุบลราชธานี!J218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กาฬสินธุ์!I219+ขอนแก่น!I219+ชัยภูมิ!I219+นครพนม!I219+นครราชสีมา!I219+บึงกาฬ!I219+บุรีรัมย์!I219+มหาสารคาม!I219+มุกดาหาร!I219+ยโสธร!I219+ร้อยเอ็ด!I219+เลย!I219+ศรีสะเกษ!I219+สกลนคร!I219+สุรินทร์!I219+หนองคาย!I219+หนองบัวลำภู!I219+อำนาจเจริญ!I219+อุดรธานี!I219+อุบลราชธานี!I219</f>
        <v>276</v>
      </c>
      <c r="J219" s="267">
        <f ca="1">กาฬสินธุ์!J219+ขอนแก่น!J219+ชัยภูมิ!J219+นครพนม!J219+นครราชสีมา!J219+บึงกาฬ!J219+บุรีรัมย์!J219+มหาสารคาม!J219+มุกดาหาร!J219+ยโสธร!J219+ร้อยเอ็ด!J219+เลย!J219+ศรีสะเกษ!J219+สกลนคร!J219+สุรินทร์!J219+หนองคาย!J219+หนองบัวลำภู!J219+อำนาจเจริญ!J219+อุดรธานี!J219+อุบลราชธานี!J219</f>
        <v>276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54" t="s">
        <v>17</v>
      </c>
      <c r="E220" s="555"/>
      <c r="F220" s="555"/>
      <c r="G220" s="555"/>
      <c r="H220" s="149" t="s">
        <v>12</v>
      </c>
      <c r="I220" s="162"/>
      <c r="J220" s="162"/>
      <c r="K220" s="163"/>
      <c r="L220" s="152">
        <f ca="1">กาฬสินธุ์!L220+ขอนแก่น!L220+ชัยภูมิ!L220+นครพนม!L220+นครราชสีมา!L220+บึงกาฬ!L220+บุรีรัมย์!L220+มหาสารคาม!L220+มุกดาหาร!L220+ยโสธร!L220+ร้อยเอ็ด!L220+เลย!L220+ศรีสะเกษ!L220+สกลนคร!L220+สุรินทร์!L220+หนองคาย!L220+หนองบัวลำภู!L220+อำนาจเจริญ!L220+อุดรธานี!L220+อุบลราชธานี!L220</f>
        <v>400540</v>
      </c>
      <c r="M220" s="152">
        <f ca="1">กาฬสินธุ์!M220+ขอนแก่น!M220+ชัยภูมิ!M220+นครพนม!M220+นครราชสีมา!M220+บึงกาฬ!M220+บุรีรัมย์!M220+มหาสารคาม!M220+มุกดาหาร!M220+ยโสธร!M220+ร้อยเอ็ด!M220+เลย!M220+ศรีสะเกษ!M220+สกลนคร!M220+สุรินทร์!M220+หนองคาย!M220+หนองบัวลำภู!M220+อำนาจเจริญ!M220+อุดรธานี!M220+อุบลราชธานี!M220</f>
        <v>400540</v>
      </c>
      <c r="N220" s="152">
        <f ca="1">กาฬสินธุ์!N220+ขอนแก่น!N220+ชัยภูมิ!N220+นครพนม!N220+นครราชสีมา!N220+บึงกาฬ!N220+บุรีรัมย์!N220+มหาสารคาม!N220+มุกดาหาร!N220+ยโสธร!N220+ร้อยเอ็ด!N220+เลย!N220+ศรีสะเกษ!N220+สกลนคร!N220+สุรินทร์!N220+หนองคาย!N220+หนองบัวลำภู!N220+อำนาจเจริญ!N220+อุดรธานี!N220+อุบลราชธานี!N220</f>
        <v>377198</v>
      </c>
      <c r="O220" s="151">
        <f t="shared" ref="O220:O222" ca="1" si="59">IF(L220&gt;0,N220*100/L220,0)</f>
        <v>94.172367304139414</v>
      </c>
      <c r="P220" s="151">
        <f t="shared" ref="P220:P222" ca="1" si="60">IF(M220&gt;0,N220*100/M220,0)</f>
        <v>94.172367304139414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>กาฬสินธุ์!L221+ขอนแก่น!L221+ชัยภูมิ!L221+นครพนม!L221+นครราชสีมา!L221+บึงกาฬ!L221+บุรีรัมย์!L221+มหาสารคาม!L221+มุกดาหาร!L221+ยโสธร!L221+ร้อยเอ็ด!L221+เลย!L221+ศรีสะเกษ!L221+สกลนคร!L221+สุรินทร์!L221+หนองคาย!L221+หนองบัวลำภู!L221+อำนาจเจริญ!L221+อุดรธานี!L221+อุบลราชธานี!L221</f>
        <v>0</v>
      </c>
      <c r="M221" s="157">
        <f>กาฬสินธุ์!M221+ขอนแก่น!M221+ชัยภูมิ!M221+นครพนม!M221+นครราชสีมา!M221+บึงกาฬ!M221+บุรีรัมย์!M221+มหาสารคาม!M221+มุกดาหาร!M221+ยโสธร!M221+ร้อยเอ็ด!M221+เลย!M221+ศรีสะเกษ!M221+สกลนคร!M221+สุรินทร์!M221+หนองคาย!M221+หนองบัวลำภู!M221+อำนาจเจริญ!M221+อุดรธานี!M221+อุบลราชธานี!M221</f>
        <v>0</v>
      </c>
      <c r="N221" s="157">
        <f>กาฬสินธุ์!N221+ขอนแก่น!N221+ชัยภูมิ!N221+นครพนม!N221+นครราชสีมา!N221+บึงกาฬ!N221+บุรีรัมย์!N221+มหาสารคาม!N221+มุกดาหาร!N221+ยโสธร!N221+ร้อยเอ็ด!N221+เลย!N221+ศรีสะเกษ!N221+สกลนคร!N221+สุรินทร์!N221+หนองคาย!N221+หนองบัวลำภู!N221+อำนาจเจริญ!N221+อุดรธานี!N221+อุบลราชธานี!N221</f>
        <v>0</v>
      </c>
      <c r="O221" s="156">
        <f t="shared" si="59"/>
        <v>0</v>
      </c>
      <c r="P221" s="156">
        <f t="shared" si="60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ca="1">กาฬสินธุ์!L222+ขอนแก่น!L222+ชัยภูมิ!L222+นครพนม!L222+นครราชสีมา!L222+บึงกาฬ!L222+บุรีรัมย์!L222+มหาสารคาม!L222+มุกดาหาร!L222+ยโสธร!L222+ร้อยเอ็ด!L222+เลย!L222+ศรีสะเกษ!L222+สกลนคร!L222+สุรินทร์!L222+หนองคาย!L222+หนองบัวลำภู!L222+อำนาจเจริญ!L222+อุดรธานี!L222+อุบลราชธานี!L222</f>
        <v>400540</v>
      </c>
      <c r="M222" s="157">
        <f ca="1">กาฬสินธุ์!M222+ขอนแก่น!M222+ชัยภูมิ!M222+นครพนม!M222+นครราชสีมา!M222+บึงกาฬ!M222+บุรีรัมย์!M222+มหาสารคาม!M222+มุกดาหาร!M222+ยโสธร!M222+ร้อยเอ็ด!M222+เลย!M222+ศรีสะเกษ!M222+สกลนคร!M222+สุรินทร์!M222+หนองคาย!M222+หนองบัวลำภู!M222+อำนาจเจริญ!M222+อุดรธานี!M222+อุบลราชธานี!M222</f>
        <v>400540</v>
      </c>
      <c r="N222" s="157">
        <f ca="1">กาฬสินธุ์!N222+ขอนแก่น!N222+ชัยภูมิ!N222+นครพนม!N222+นครราชสีมา!N222+บึงกาฬ!N222+บุรีรัมย์!N222+มหาสารคาม!N222+มุกดาหาร!N222+ยโสธร!N222+ร้อยเอ็ด!N222+เลย!N222+ศรีสะเกษ!N222+สกลนคร!N222+สุรินทร์!N222+หนองคาย!N222+หนองบัวลำภู!N222+อำนาจเจริญ!N222+อุดรธานี!N222+อุบลราชธานี!N222</f>
        <v>377198</v>
      </c>
      <c r="O222" s="156">
        <f t="shared" ca="1" si="59"/>
        <v>94.172367304139414</v>
      </c>
      <c r="P222" s="156">
        <f t="shared" ca="1" si="60"/>
        <v>94.172367304139414</v>
      </c>
    </row>
    <row r="223" spans="1:16" ht="21.75" customHeight="1" x14ac:dyDescent="0.45">
      <c r="A223" s="158"/>
      <c r="B223" s="159"/>
      <c r="C223" s="159" t="s">
        <v>16</v>
      </c>
      <c r="D223" s="552" t="s">
        <v>20</v>
      </c>
      <c r="E223" s="553"/>
      <c r="F223" s="55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f>กาฬสินธุ์!L223+ขอนแก่น!L223+ชัยภูมิ!L223+นครพนม!L223+นครราชสีมา!L223+บึงกาฬ!L223+บุรีรัมย์!L223+มหาสารคาม!L223+มุกดาหาร!L223+ยโสธร!L223+ร้อยเอ็ด!L223+เลย!L223+ศรีสะเกษ!L223+สกลนคร!L223+สุรินทร์!L223+หนองคาย!L223+หนองบัวลำภู!L223+อำนาจเจริญ!L223+อุดรธานี!L223+อุบลราชธานี!L223</f>
        <v>0</v>
      </c>
      <c r="M223" s="164">
        <f>กาฬสินธุ์!M223+ขอนแก่น!M223+ชัยภูมิ!M223+นครพนม!M223+นครราชสีมา!M223+บึงกาฬ!M223+บุรีรัมย์!M223+มหาสารคาม!M223+มุกดาหาร!M223+ยโสธร!M223+ร้อยเอ็ด!M223+เลย!M223+ศรีสะเกษ!M223+สกลนคร!M223+สุรินทร์!M223+หนองคาย!M223+หนองบัวลำภู!M223+อำนาจเจริญ!M223+อุดรธานี!M223+อุบลราชธานี!M223</f>
        <v>0</v>
      </c>
      <c r="N223" s="164">
        <f>กาฬสินธุ์!N223+ขอนแก่น!N223+ชัยภูมิ!N223+นครพนม!N223+นครราชสีมา!N223+บึงกาฬ!N223+บุรีรัมย์!N223+มหาสารคาม!N223+มุกดาหาร!N223+ยโสธร!N223+ร้อยเอ็ด!N223+เลย!N223+ศรีสะเกษ!N223+สกลนคร!N223+สุรินทร์!N223+หนองคาย!N223+หนองบัวลำภู!N223+อำนาจเจริญ!N223+อุดรธานี!N223+อุบลราชธานี!N223</f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กาฬสินธุ์!L224+ขอนแก่น!L224+ชัยภูมิ!L224+นครพนม!L224+นครราชสีมา!L224+บึงกาฬ!L224+บุรีรัมย์!L224+มหาสารคาม!L224+มุกดาหาร!L224+ยโสธร!L224+ร้อยเอ็ด!L224+เลย!L224+ศรีสะเกษ!L224+สกลนคร!L224+สุรินทร์!L224+หนองคาย!L224+หนองบัวลำภู!L224+อำนาจเจริญ!L224+อุดรธานี!L224+อุบลราชธานี!L224</f>
        <v>400540</v>
      </c>
      <c r="M224" s="168">
        <f ca="1">กาฬสินธุ์!M224+ขอนแก่น!M224+ชัยภูมิ!M224+นครพนม!M224+นครราชสีมา!M224+บึงกาฬ!M224+บุรีรัมย์!M224+มหาสารคาม!M224+มุกดาหาร!M224+ยโสธร!M224+ร้อยเอ็ด!M224+เลย!M224+ศรีสะเกษ!M224+สกลนคร!M224+สุรินทร์!M224+หนองคาย!M224+หนองบัวลำภู!M224+อำนาจเจริญ!M224+อุดรธานี!M224+อุบลราชธานี!M224</f>
        <v>400540</v>
      </c>
      <c r="N224" s="169">
        <f ca="1">กาฬสินธุ์!N224+ขอนแก่น!N224+ชัยภูมิ!N224+นครพนม!N224+นครราชสีมา!N224+บึงกาฬ!N224+บุรีรัมย์!N224+มหาสารคาม!N224+มุกดาหาร!N224+ยโสธร!N224+ร้อยเอ็ด!N224+เลย!N224+ศรีสะเกษ!N224+สกลนคร!N224+สุรินทร์!N224+หนองคาย!N224+หนองบัวลำภู!N224+อำนาจเจริญ!N224+อุดรธานี!N224+อุบลราชธานี!N224</f>
        <v>377198</v>
      </c>
      <c r="O224" s="169">
        <f ca="1">IF(L224&gt;0,N224*100/L224,0)</f>
        <v>94.172367304139414</v>
      </c>
      <c r="P224" s="169">
        <f ca="1">IF(M224&gt;0,N224*100/M224,0)</f>
        <v>94.172367304139414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กาฬสินธุ์!L225+ขอนแก่น!L225+ชัยภูมิ!L225+นครพนม!L225+นครราชสีมา!L225+บึงกาฬ!L225+บุรีรัมย์!L225+มหาสารคาม!L225+มุกดาหาร!L225+ยโสธร!L225+ร้อยเอ็ด!L225+เลย!L225+ศรีสะเกษ!L225+สกลนคร!L225+สุรินทร์!L225+หนองคาย!L225+หนองบัวลำภู!L225+อำนาจเจริญ!L225+อุดรธานี!L225+อุบลราชธานี!L225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กาฬสินธุ์!L226+ขอนแก่น!L226+ชัยภูมิ!L226+นครพนม!L226+นครราชสีมา!L226+บึงกาฬ!L226+บุรีรัมย์!L226+มหาสารคาม!L226+มุกดาหาร!L226+ยโสธร!L226+ร้อยเอ็ด!L226+เลย!L226+ศรีสะเกษ!L226+สกลนคร!L226+สุรินทร์!L226+หนองคาย!L226+หนองบัวลำภู!L226+อำนาจเจริญ!L226+อุดรธานี!L226+อุบลราชธานี!L226</f>
        <v>400540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52" t="s">
        <v>23</v>
      </c>
      <c r="E227" s="553"/>
      <c r="F227" s="89"/>
      <c r="G227" s="82" t="s">
        <v>18</v>
      </c>
      <c r="H227" s="172" t="s">
        <v>12</v>
      </c>
      <c r="I227" s="201"/>
      <c r="J227" s="201"/>
      <c r="K227" s="290"/>
      <c r="L227" s="41">
        <f>กาฬสินธุ์!L227+ขอนแก่น!L227+ชัยภูมิ!L227+นครพนม!L227+นครราชสีมา!L227+บึงกาฬ!L227+บุรีรัมย์!L227+มหาสารคาม!L227+มุกดาหาร!L227+ยโสธร!L227+ร้อยเอ็ด!L227+เลย!L227+ศรีสะเกษ!L227+สกลนคร!L227+สุรินทร์!L227+หนองคาย!L227+หนองบัวลำภู!L227+อำนาจเจริญ!L227+อุดรธานี!L227+อุบลราชธานี!L227</f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กาฬสินธุ์!L228+ขอนแก่น!L228+ชัยภูมิ!L228+นครพนม!L228+นครราชสีมา!L228+บึงกาฬ!L228+บุรีรัมย์!L228+มหาสารคาม!L228+มุกดาหาร!L228+ยโสธร!L228+ร้อยเอ็ด!L228+เลย!L228+ศรีสะเกษ!L228+สกลนคร!L228+สุรินทร์!L228+หนองคาย!L228+หนองบัวลำภู!L228+อำนาจเจริญ!L228+อุดรธานี!L228+อุบลราชธานี!L228</f>
        <v>0</v>
      </c>
      <c r="M228" s="49"/>
      <c r="N228" s="49">
        <f ca="1">กาฬสินธุ์!N228+ขอนแก่น!N228+ชัยภูมิ!N228+นครพนม!N228+นครราชสีมา!N228+บึงกาฬ!N228+บุรีรัมย์!N228+มหาสารคาม!N228+มุกดาหาร!N228+ยโสธร!N228+ร้อยเอ็ด!N228+เลย!N228+ศรีสะเกษ!N228+สกลนคร!N228+สุรินทร์!N228+หนองคาย!N228+หนองบัวลำภู!N228+อำนาจเจริญ!N228+อุดรธานี!N228+อุบลราชธานี!N228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กาฬสินธุ์!I229+ขอนแก่น!I229+ชัยภูมิ!I229+นครพนม!I229+นครราชสีมา!I229+บึงกาฬ!I229+บุรีรัมย์!I229+มหาสารคาม!I229+มุกดาหาร!I229+ยโสธร!I229+ร้อยเอ็ด!I229+เลย!I229+ศรีสะเกษ!I229+สกลนคร!I229+สุรินทร์!I229+หนองคาย!I229+หนองบัวลำภู!I229+อำนาจเจริญ!I229+อุดรธานี!I229+อุบลราชธานี!I229</f>
        <v>276</v>
      </c>
      <c r="J229" s="267">
        <f ca="1">กาฬสินธุ์!J229+ขอนแก่น!J229+ชัยภูมิ!J229+นครพนม!J229+นครราชสีมา!J229+บึงกาฬ!J229+บุรีรัมย์!J229+มหาสารคาม!J229+มุกดาหาร!J229+ยโสธร!J229+ร้อยเอ็ด!J229+เลย!J229+ศรีสะเกษ!J229+สกลนคร!J229+สุรินทร์!J229+หนองคาย!J229+หนองบัวลำภู!J229+อำนาจเจริญ!J229+อุดรธานี!J229+อุบลราชธานี!J229</f>
        <v>276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กาฬสินธุ์!J231+ขอนแก่น!J231+ชัยภูมิ!J231+นครพนม!J231+นครราชสีมา!J231+บึงกาฬ!J231+บุรีรัมย์!J231+มหาสารคาม!J231+มุกดาหาร!J231+ยโสธร!J231+ร้อยเอ็ด!J231+เลย!J231+ศรีสะเกษ!J231+สกลนคร!J231+สุรินทร์!J231+หนองคาย!J231+หนองบัวลำภู!J231+อำนาจเจริญ!J231+อุดรธานี!J231+อุบลราชธานี!J231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กาฬสินธุ์!J232+ขอนแก่น!J232+ชัยภูมิ!J232+นครพนม!J232+นครราชสีมา!J232+บึงกาฬ!J232+บุรีรัมย์!J232+มหาสารคาม!J232+มุกดาหาร!J232+ยโสธร!J232+ร้อยเอ็ด!J232+เลย!J232+ศรีสะเกษ!J232+สกลนคร!J232+สุรินทร์!J232+หนองคาย!J232+หนองบัวลำภู!J232+อำนาจเจริญ!J232+อุดรธานี!J232+อุบลราชธานี!J232</f>
        <v>19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กาฬสินธุ์!J233+ขอนแก่น!J233+ชัยภูมิ!J233+นครพนม!J233+นครราชสีมา!J233+บึงกาฬ!J233+บุรีรัมย์!J233+มหาสารคาม!J233+มุกดาหาร!J233+ยโสธร!J233+ร้อยเอ็ด!J233+เลย!J233+ศรีสะเกษ!J233+สกลนคร!J233+สุรินทร์!J233+หนองคาย!J233+หนองบัวลำภู!J233+อำนาจเจริญ!J233+อุดรธานี!J233+อุบลราชธานี!J233</f>
        <v>19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กาฬสินธุ์!J234+ขอนแก่น!J234+ชัยภูมิ!J234+นครพนม!J234+นครราชสีมา!J234+บึงกาฬ!J234+บุรีรัมย์!J234+มหาสารคาม!J234+มุกดาหาร!J234+ยโสธร!J234+ร้อยเอ็ด!J234+เลย!J234+ศรีสะเกษ!J234+สกลนคร!J234+สุรินทร์!J234+หนองคาย!J234+หนองบัวลำภู!J234+อำนาจเจริญ!J234+อุดรธานี!J234+อุบลราชธานี!J234</f>
        <v>15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กาฬสินธุ์!I235+ขอนแก่น!I235+ชัยภูมิ!I235+นครพนม!I235+นครราชสีมา!I235+บึงกาฬ!I235+บุรีรัมย์!I235+มหาสารคาม!I235+มุกดาหาร!I235+ยโสธร!I235+ร้อยเอ็ด!I235+เลย!I235+ศรีสะเกษ!I235+สกลนคร!I235+สุรินทร์!I235+หนองคาย!I235+หนองบัวลำภู!I235+อำนาจเจริญ!I235+อุดรธานี!I235+อุบลราชธานี!I235</f>
        <v>276</v>
      </c>
      <c r="J235" s="189">
        <f ca="1">กาฬสินธุ์!J235+ขอนแก่น!J235+ชัยภูมิ!J235+นครพนม!J235+นครราชสีมา!J235+บึงกาฬ!J235+บุรีรัมย์!J235+มหาสารคาม!J235+มุกดาหาร!J235+ยโสธร!J235+ร้อยเอ็ด!J235+เลย!J235+ศรีสะเกษ!J235+สกลนคร!J235+สุรินทร์!J235+หนองคาย!J235+หนองบัวลำภู!J235+อำนาจเจริญ!J235+อุดรธานี!J235+อุบลราชธานี!J235</f>
        <v>276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กาฬสินธุ์!J236+ขอนแก่น!J236+ชัยภูมิ!J236+นครพนม!J236+นครราชสีมา!J236+บึงกาฬ!J236+บุรีรัมย์!J236+มหาสารคาม!J236+มุกดาหาร!J236+ยโสธร!J236+ร้อยเอ็ด!J236+เลย!J236+ศรีสะเกษ!J236+สกลนคร!J236+สุรินทร์!J236+หนองคาย!J236+หนองบัวลำภู!J236+อำนาจเจริญ!J236+อุดรธานี!J236+อุบลราชธานี!J236</f>
        <v>3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กาฬสินธุ์!J237+ขอนแก่น!J237+ชัยภูมิ!J237+นครพนม!J237+นครราชสีมา!J237+บึงกาฬ!J237+บุรีรัมย์!J237+มหาสารคาม!J237+มุกดาหาร!J237+ยโสธร!J237+ร้อยเอ็ด!J237+เลย!J237+ศรีสะเกษ!J237+สกลนคร!J237+สุรินทร์!J237+หนองคาย!J237+หนองบัวลำภู!J237+อำนาจเจริญ!J237+อุดรธานี!J237+อุบลราชธานี!J237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กาฬสินธุ์!I238+ขอนแก่น!I238+ชัยภูมิ!I238+นครพนม!I238+นครราชสีมา!I238+บึงกาฬ!I238+บุรีรัมย์!I238+มหาสารคาม!I238+มุกดาหาร!I238+ยโสธร!I238+ร้อยเอ็ด!I238+เลย!I238+ศรีสะเกษ!I238+สกลนคร!I238+สุรินทร์!I238+หนองคาย!I238+หนองบัวลำภู!I238+อำนาจเจริญ!I238+อุดรธานี!I238+อุบลราชธานี!I238</f>
        <v>0</v>
      </c>
      <c r="J238" s="267">
        <f ca="1">กาฬสินธุ์!J238+ขอนแก่น!J238+ชัยภูมิ!J238+นครพนม!J238+นครราชสีมา!J238+บึงกาฬ!J238+บุรีรัมย์!J238+มหาสารคาม!J238+มุกดาหาร!J238+ยโสธร!J238+ร้อยเอ็ด!J238+เลย!J238+ศรีสะเกษ!J238+สกลนคร!J238+สุรินทร์!J238+หนองคาย!J238+หนองบัวลำภู!J238+อำนาจเจริญ!J238+อุดรธานี!J238+อุบลราชธานี!J238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IFERROR(__xludf.DUMMYFUNCTION("IMPORTRANGE(""https://docs.google.com/spreadsheets/d/1SX6NBoVAgQJ6U1MVXOaj8PK2l7WJ3RER9xtqwdhxkhw/edit?usp=sharing"",""กาญจนบุรี!J159"")"),"")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กาฬสินธุ์!J241+ขอนแก่น!J241+ชัยภูมิ!J241+นครพนม!J241+นครราชสีมา!J241+บึงกาฬ!J241+บุรีรัมย์!J241+มหาสารคาม!J241+มุกดาหาร!J241+ยโสธร!J241+ร้อยเอ็ด!J241+เลย!J241+ศรีสะเกษ!J241+สกลนคร!J241+สุรินทร์!J241+หนองคาย!J241+หนองบัวลำภู!J241+อำนาจเจริญ!J241+อุดรธานี!J241+อุบลราชธานี!J241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กาฬสินธุ์!J242+ขอนแก่น!J242+ชัยภูมิ!J242+นครพนม!J242+นครราชสีมา!J242+บึงกาฬ!J242+บุรีรัมย์!J242+มหาสารคาม!J242+มุกดาหาร!J242+ยโสธร!J242+ร้อยเอ็ด!J242+เลย!J242+ศรีสะเกษ!J242+สกลนคร!J242+สุรินทร์!J242+หนองคาย!J242+หนองบัวลำภู!J242+อำนาจเจริญ!J242+อุดรธานี!J242+อุบลราชธานี!J242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กาฬสินธุ์!J243+ขอนแก่น!J243+ชัยภูมิ!J243+นครพนม!J243+นครราชสีมา!J243+บึงกาฬ!J243+บุรีรัมย์!J243+มหาสารคาม!J243+มุกดาหาร!J243+ยโสธร!J243+ร้อยเอ็ด!J243+เลย!J243+ศรีสะเกษ!J243+สกลนคร!J243+สุรินทร์!J243+หนองคาย!J243+หนองบัวลำภู!J243+อำนาจเจริญ!J243+อุดรธานี!J243+อุบลราชธานี!J243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กาฬสินธุ์!I244+ขอนแก่น!I244+ชัยภูมิ!I244+นครพนม!I244+นครราชสีมา!I244+บึงกาฬ!I244+บุรีรัมย์!I244+มหาสารคาม!I244+มุกดาหาร!I244+ยโสธร!I244+ร้อยเอ็ด!I244+เลย!I244+ศรีสะเกษ!I244+สกลนคร!I244+สุรินทร์!I244+หนองคาย!I244+หนองบัวลำภู!I244+อำนาจเจริญ!I244+อุดรธานี!I244+อุบลราชธานี!I244</f>
        <v>0</v>
      </c>
      <c r="J244" s="188">
        <f ca="1">กาฬสินธุ์!J244+ขอนแก่น!J244+ชัยภูมิ!J244+นครพนม!J244+นครราชสีมา!J244+บึงกาฬ!J244+บุรีรัมย์!J244+มหาสารคาม!J244+มุกดาหาร!J244+ยโสธร!J244+ร้อยเอ็ด!J244+เลย!J244+ศรีสะเกษ!J244+สกลนคร!J244+สุรินทร์!J244+หนองคาย!J244+หนองบัวลำภู!J244+อำนาจเจริญ!J244+อุดรธานี!J244+อุบลราชธานี!J244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กาฬสินธุ์!J245+ขอนแก่น!J245+ชัยภูมิ!J245+นครพนม!J245+นครราชสีมา!J245+บึงกาฬ!J245+บุรีรัมย์!J245+มหาสารคาม!J245+มุกดาหาร!J245+ยโสธร!J245+ร้อยเอ็ด!J245+เลย!J245+ศรีสะเกษ!J245+สกลนคร!J245+สุรินทร์!J245+หนองคาย!J245+หนองบัวลำภู!J245+อำนาจเจริญ!J245+อุดรธานี!J245+อุบลราชธานี!J245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กาฬสินธุ์!J246+ขอนแก่น!J246+ชัยภูมิ!J246+นครพนม!J246+นครราชสีมา!J246+บึงกาฬ!J246+บุรีรัมย์!J246+มหาสารคาม!J246+มุกดาหาร!J246+ยโสธร!J246+ร้อยเอ็ด!J246+เลย!J246+ศรีสะเกษ!J246+สกลนคร!J246+สุรินทร์!J246+หนองคาย!J246+หนองบัวลำภู!J246+อำนาจเจริญ!J246+อุดรธานี!J246+อุบลราชธานี!J246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กาฬสินธุ์!I249+ขอนแก่น!I249+ชัยภูมิ!I249+นครพนม!I249+นครราชสีมา!I249+บึงกาฬ!I249+บุรีรัมย์!I249+มหาสารคาม!I249+มุกดาหาร!I249+ยโสธร!I249+ร้อยเอ็ด!I249+เลย!I249+ศรีสะเกษ!I249+สกลนคร!I249+สุรินทร์!I249+หนองคาย!I249+หนองบัวลำภู!I249+อำนาจเจริญ!I249+อุดรธานี!I249+อุบลราชธานี!I249</f>
        <v>240</v>
      </c>
      <c r="J249" s="316">
        <f ca="1">กาฬสินธุ์!J249+ขอนแก่น!J249+ชัยภูมิ!J249+นครพนม!J249+นครราชสีมา!J249+บึงกาฬ!J249+บุรีรัมย์!J249+มหาสารคาม!J249+มุกดาหาร!J249+ยโสธร!J249+ร้อยเอ็ด!J249+เลย!J249+ศรีสะเกษ!J249+สกลนคร!J249+สุรินทร์!J249+หนองคาย!J249+หนองบัวลำภู!J249+อำนาจเจริญ!J249+อุดรธานี!J249+อุบลราชธานี!J249</f>
        <v>228</v>
      </c>
      <c r="K249" s="317">
        <f ca="1">IF(I249&gt;0,J249*100/I249,0)</f>
        <v>95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54" t="s">
        <v>17</v>
      </c>
      <c r="E250" s="555"/>
      <c r="F250" s="555"/>
      <c r="G250" s="555"/>
      <c r="H250" s="149" t="s">
        <v>12</v>
      </c>
      <c r="I250" s="162"/>
      <c r="J250" s="162"/>
      <c r="K250" s="163"/>
      <c r="L250" s="152">
        <f ca="1">กาฬสินธุ์!L250+ขอนแก่น!L250+ชัยภูมิ!L250+นครพนม!L250+นครราชสีมา!L250+บึงกาฬ!L250+บุรีรัมย์!L250+มหาสารคาม!L250+มุกดาหาร!L250+ยโสธร!L250+ร้อยเอ็ด!L250+เลย!L250+ศรีสะเกษ!L250+สกลนคร!L250+สุรินทร์!L250+หนองคาย!L250+หนองบัวลำภู!L250+อำนาจเจริญ!L250+อุดรธานี!L250+อุบลราชธานี!L250</f>
        <v>1364900</v>
      </c>
      <c r="M250" s="152">
        <f ca="1">กาฬสินธุ์!M250+ขอนแก่น!M250+ชัยภูมิ!M250+นครพนม!M250+นครราชสีมา!M250+บึงกาฬ!M250+บุรีรัมย์!M250+มหาสารคาม!M250+มุกดาหาร!M250+ยโสธร!M250+ร้อยเอ็ด!M250+เลย!M250+ศรีสะเกษ!M250+สกลนคร!M250+สุรินทร์!M250+หนองคาย!M250+หนองบัวลำภู!M250+อำนาจเจริญ!M250+อุดรธานี!M250+อุบลราชธานี!M250</f>
        <v>977600</v>
      </c>
      <c r="N250" s="152">
        <f ca="1">กาฬสินธุ์!N250+ขอนแก่น!N250+ชัยภูมิ!N250+นครพนม!N250+นครราชสีมา!N250+บึงกาฬ!N250+บุรีรัมย์!N250+มหาสารคาม!N250+มุกดาหาร!N250+ยโสธร!N250+ร้อยเอ็ด!N250+เลย!N250+ศรีสะเกษ!N250+สกลนคร!N250+สุรินทร์!N250+หนองคาย!N250+หนองบัวลำภู!N250+อำนาจเจริญ!N250+อุดรธานี!N250+อุบลราชธานี!N250</f>
        <v>552128.27</v>
      </c>
      <c r="O250" s="151">
        <f t="shared" ref="O250:O252" ca="1" si="61">IF(L250&gt;0,N250*100/L250,0)</f>
        <v>40.451921019854936</v>
      </c>
      <c r="P250" s="151">
        <f t="shared" ref="P250:P252" ca="1" si="62">IF(M250&gt;0,N250*100/M250,0)</f>
        <v>56.477932692307689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>กาฬสินธุ์!L251+ขอนแก่น!L251+ชัยภูมิ!L251+นครพนม!L251+นครราชสีมา!L251+บึงกาฬ!L251+บุรีรัมย์!L251+มหาสารคาม!L251+มุกดาหาร!L251+ยโสธร!L251+ร้อยเอ็ด!L251+เลย!L251+ศรีสะเกษ!L251+สกลนคร!L251+สุรินทร์!L251+หนองคาย!L251+หนองบัวลำภู!L251+อำนาจเจริญ!L251+อุดรธานี!L251+อุบลราชธานี!L251</f>
        <v>0</v>
      </c>
      <c r="M251" s="157">
        <f>กาฬสินธุ์!M251+ขอนแก่น!M251+ชัยภูมิ!M251+นครพนม!M251+นครราชสีมา!M251+บึงกาฬ!M251+บุรีรัมย์!M251+มหาสารคาม!M251+มุกดาหาร!M251+ยโสธร!M251+ร้อยเอ็ด!M251+เลย!M251+ศรีสะเกษ!M251+สกลนคร!M251+สุรินทร์!M251+หนองคาย!M251+หนองบัวลำภู!M251+อำนาจเจริญ!M251+อุดรธานี!M251+อุบลราชธานี!M251</f>
        <v>0</v>
      </c>
      <c r="N251" s="157">
        <f>กาฬสินธุ์!N251+ขอนแก่น!N251+ชัยภูมิ!N251+นครพนม!N251+นครราชสีมา!N251+บึงกาฬ!N251+บุรีรัมย์!N251+มหาสารคาม!N251+มุกดาหาร!N251+ยโสธร!N251+ร้อยเอ็ด!N251+เลย!N251+ศรีสะเกษ!N251+สกลนคร!N251+สุรินทร์!N251+หนองคาย!N251+หนองบัวลำภู!N251+อำนาจเจริญ!N251+อุดรธานี!N251+อุบลราชธานี!N251</f>
        <v>0</v>
      </c>
      <c r="O251" s="156">
        <f t="shared" si="61"/>
        <v>0</v>
      </c>
      <c r="P251" s="156">
        <f t="shared" si="62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ca="1">กาฬสินธุ์!L252+ขอนแก่น!L252+ชัยภูมิ!L252+นครพนม!L252+นครราชสีมา!L252+บึงกาฬ!L252+บุรีรัมย์!L252+มหาสารคาม!L252+มุกดาหาร!L252+ยโสธร!L252+ร้อยเอ็ด!L252+เลย!L252+ศรีสะเกษ!L252+สกลนคร!L252+สุรินทร์!L252+หนองคาย!L252+หนองบัวลำภู!L252+อำนาจเจริญ!L252+อุดรธานี!L252+อุบลราชธานี!L252</f>
        <v>1364900</v>
      </c>
      <c r="M252" s="157">
        <f ca="1">กาฬสินธุ์!M252+ขอนแก่น!M252+ชัยภูมิ!M252+นครพนม!M252+นครราชสีมา!M252+บึงกาฬ!M252+บุรีรัมย์!M252+มหาสารคาม!M252+มุกดาหาร!M252+ยโสธร!M252+ร้อยเอ็ด!M252+เลย!M252+ศรีสะเกษ!M252+สกลนคร!M252+สุรินทร์!M252+หนองคาย!M252+หนองบัวลำภู!M252+อำนาจเจริญ!M252+อุดรธานี!M252+อุบลราชธานี!M252</f>
        <v>977600</v>
      </c>
      <c r="N252" s="157">
        <f ca="1">กาฬสินธุ์!N252+ขอนแก่น!N252+ชัยภูมิ!N252+นครพนม!N252+นครราชสีมา!N252+บึงกาฬ!N252+บุรีรัมย์!N252+มหาสารคาม!N252+มุกดาหาร!N252+ยโสธร!N252+ร้อยเอ็ด!N252+เลย!N252+ศรีสะเกษ!N252+สกลนคร!N252+สุรินทร์!N252+หนองคาย!N252+หนองบัวลำภู!N252+อำนาจเจริญ!N252+อุดรธานี!N252+อุบลราชธานี!N252</f>
        <v>552128.27</v>
      </c>
      <c r="O252" s="156">
        <f t="shared" ca="1" si="61"/>
        <v>40.451921019854936</v>
      </c>
      <c r="P252" s="156">
        <f t="shared" ca="1" si="62"/>
        <v>56.477932692307689</v>
      </c>
    </row>
    <row r="253" spans="1:16" ht="21.75" customHeight="1" x14ac:dyDescent="0.45">
      <c r="A253" s="158"/>
      <c r="B253" s="159"/>
      <c r="C253" s="159" t="s">
        <v>16</v>
      </c>
      <c r="D253" s="552" t="s">
        <v>20</v>
      </c>
      <c r="E253" s="553"/>
      <c r="F253" s="55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f>กาฬสินธุ์!L253+ขอนแก่น!L253+ชัยภูมิ!L253+นครพนม!L253+นครราชสีมา!L253+บึงกาฬ!L253+บุรีรัมย์!L253+มหาสารคาม!L253+มุกดาหาร!L253+ยโสธร!L253+ร้อยเอ็ด!L253+เลย!L253+ศรีสะเกษ!L253+สกลนคร!L253+สุรินทร์!L253+หนองคาย!L253+หนองบัวลำภู!L253+อำนาจเจริญ!L253+อุดรธานี!L253+อุบลราชธานี!L253</f>
        <v>0</v>
      </c>
      <c r="M253" s="164">
        <f>กาฬสินธุ์!M253+ขอนแก่น!M253+ชัยภูมิ!M253+นครพนม!M253+นครราชสีมา!M253+บึงกาฬ!M253+บุรีรัมย์!M253+มหาสารคาม!M253+มุกดาหาร!M253+ยโสธร!M253+ร้อยเอ็ด!M253+เลย!M253+ศรีสะเกษ!M253+สกลนคร!M253+สุรินทร์!M253+หนองคาย!M253+หนองบัวลำภู!M253+อำนาจเจริญ!M253+อุดรธานี!M253+อุบลราชธานี!M253</f>
        <v>0</v>
      </c>
      <c r="N253" s="164">
        <f>กาฬสินธุ์!N253+ขอนแก่น!N253+ชัยภูมิ!N253+นครพนม!N253+นครราชสีมา!N253+บึงกาฬ!N253+บุรีรัมย์!N253+มหาสารคาม!N253+มุกดาหาร!N253+ยโสธร!N253+ร้อยเอ็ด!N253+เลย!N253+ศรีสะเกษ!N253+สกลนคร!N253+สุรินทร์!N253+หนองคาย!N253+หนองบัวลำภู!N253+อำนาจเจริญ!N253+อุดรธานี!N253+อุบลราชธานี!N253</f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กาฬสินธุ์!L254+ขอนแก่น!L254+ชัยภูมิ!L254+นครพนม!L254+นครราชสีมา!L254+บึงกาฬ!L254+บุรีรัมย์!L254+มหาสารคาม!L254+มุกดาหาร!L254+ยโสธร!L254+ร้อยเอ็ด!L254+เลย!L254+ศรีสะเกษ!L254+สกลนคร!L254+สุรินทร์!L254+หนองคาย!L254+หนองบัวลำภู!L254+อำนาจเจริญ!L254+อุดรธานี!L254+อุบลราชธานี!L254</f>
        <v>1364900</v>
      </c>
      <c r="M254" s="168">
        <f ca="1">กาฬสินธุ์!M254+ขอนแก่น!M254+ชัยภูมิ!M254+นครพนม!M254+นครราชสีมา!M254+บึงกาฬ!M254+บุรีรัมย์!M254+มหาสารคาม!M254+มุกดาหาร!M254+ยโสธร!M254+ร้อยเอ็ด!M254+เลย!M254+ศรีสะเกษ!M254+สกลนคร!M254+สุรินทร์!M254+หนองคาย!M254+หนองบัวลำภู!M254+อำนาจเจริญ!M254+อุดรธานี!M254+อุบลราชธานี!M254</f>
        <v>977600</v>
      </c>
      <c r="N254" s="169">
        <f ca="1">กาฬสินธุ์!N254+ขอนแก่น!N254+ชัยภูมิ!N254+นครพนม!N254+นครราชสีมา!N254+บึงกาฬ!N254+บุรีรัมย์!N254+มหาสารคาม!N254+มุกดาหาร!N254+ยโสธร!N254+ร้อยเอ็ด!N254+เลย!N254+ศรีสะเกษ!N254+สกลนคร!N254+สุรินทร์!N254+หนองคาย!N254+หนองบัวลำภู!N254+อำนาจเจริญ!N254+อุดรธานี!N254+อุบลราชธานี!N254</f>
        <v>552128.27</v>
      </c>
      <c r="O254" s="169">
        <f ca="1">IF(L254&gt;0,N254*100/L254,0)</f>
        <v>40.451921019854936</v>
      </c>
      <c r="P254" s="169">
        <f ca="1">IF(M254&gt;0,N254*100/M254,0)</f>
        <v>56.477932692307689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กาฬสินธุ์!L255+ขอนแก่น!L255+ชัยภูมิ!L255+นครพนม!L255+นครราชสีมา!L255+บึงกาฬ!L255+บุรีรัมย์!L255+มหาสารคาม!L255+มุกดาหาร!L255+ยโสธร!L255+ร้อยเอ็ด!L255+เลย!L255+ศรีสะเกษ!L255+สกลนคร!L255+สุรินทร์!L255+หนองคาย!L255+หนองบัวลำภู!L255+อำนาจเจริญ!L255+อุดรธานี!L255+อุบลราชธานี!L255</f>
        <v>396000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กาฬสินธุ์!L256+ขอนแก่น!L256+ชัยภูมิ!L256+นครพนม!L256+นครราชสีมา!L256+บึงกาฬ!L256+บุรีรัมย์!L256+มหาสารคาม!L256+มุกดาหาร!L256+ยโสธร!L256+ร้อยเอ็ด!L256+เลย!L256+ศรีสะเกษ!L256+สกลนคร!L256+สุรินทร์!L256+หนองคาย!L256+หนองบัวลำภู!L256+อำนาจเจริญ!L256+อุดรธานี!L256+อุบลราชธานี!L256</f>
        <v>968900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52" t="s">
        <v>23</v>
      </c>
      <c r="E257" s="553"/>
      <c r="F257" s="89"/>
      <c r="G257" s="82" t="s">
        <v>18</v>
      </c>
      <c r="H257" s="172" t="s">
        <v>12</v>
      </c>
      <c r="I257" s="162"/>
      <c r="J257" s="162"/>
      <c r="K257" s="163"/>
      <c r="L257" s="41">
        <f>กาฬสินธุ์!L257+ขอนแก่น!L257+ชัยภูมิ!L257+นครพนม!L257+นครราชสีมา!L257+บึงกาฬ!L257+บุรีรัมย์!L257+มหาสารคาม!L257+มุกดาหาร!L257+ยโสธร!L257+ร้อยเอ็ด!L257+เลย!L257+ศรีสะเกษ!L257+สกลนคร!L257+สุรินทร์!L257+หนองคาย!L257+หนองบัวลำภู!L257+อำนาจเจริญ!L257+อุดรธานี!L257+อุบลราชธานี!L257</f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กาฬสินธุ์!L258+ขอนแก่น!L258+ชัยภูมิ!L258+นครพนม!L258+นครราชสีมา!L258+บึงกาฬ!L258+บุรีรัมย์!L258+มหาสารคาม!L258+มุกดาหาร!L258+ยโสธร!L258+ร้อยเอ็ด!L258+เลย!L258+ศรีสะเกษ!L258+สกลนคร!L258+สุรินทร์!L258+หนองคาย!L258+หนองบัวลำภู!L258+อำนาจเจริญ!L258+อุดรธานี!L258+อุบลราชธานี!L258</f>
        <v>0</v>
      </c>
      <c r="M258" s="49"/>
      <c r="N258" s="49">
        <f ca="1">กาฬสินธุ์!N258+ขอนแก่น!N258+ชัยภูมิ!N258+นครพนม!N258+นครราชสีมา!N258+บึงกาฬ!N258+บุรีรัมย์!N258+มหาสารคาม!N258+มุกดาหาร!N258+ยโสธร!N258+ร้อยเอ็ด!N258+เลย!N258+ศรีสะเกษ!N258+สกลนคร!N258+สุรินทร์!N258+หนองคาย!N258+หนองบัวลำภู!N258+อำนาจเจริญ!N258+อุดรธานี!N258+อุบลราชธานี!N258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กาฬสินธุ์!J260+ขอนแก่น!J260+ชัยภูมิ!J260+นครพนม!J260+นครราชสีมา!J260+บึงกาฬ!J260+บุรีรัมย์!J260+มหาสารคาม!J260+มุกดาหาร!J260+ยโสธร!J260+ร้อยเอ็ด!J260+เลย!J260+ศรีสะเกษ!J260+สกลนคร!J260+สุรินทร์!J260+หนองคาย!J260+หนองบัวลำภู!J260+อำนาจเจริญ!J260+อุดรธานี!J260+อุบลราชธานี!J260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กาฬสินธุ์!J261+ขอนแก่น!J261+ชัยภูมิ!J261+นครพนม!J261+นครราชสีมา!J261+บึงกาฬ!J261+บุรีรัมย์!J261+มหาสารคาม!J261+มุกดาหาร!J261+ยโสธร!J261+ร้อยเอ็ด!J261+เลย!J261+ศรีสะเกษ!J261+สกลนคร!J261+สุรินทร์!J261+หนองคาย!J261+หนองบัวลำภู!J261+อำนาจเจริญ!J261+อุดรธานี!J261+อุบลราชธานี!J261</f>
        <v>9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กาฬสินธุ์!J262+ขอนแก่น!J262+ชัยภูมิ!J262+นครพนม!J262+นครราชสีมา!J262+บึงกาฬ!J262+บุรีรัมย์!J262+มหาสารคาม!J262+มุกดาหาร!J262+ยโสธร!J262+ร้อยเอ็ด!J262+เลย!J262+ศรีสะเกษ!J262+สกลนคร!J262+สุรินทร์!J262+หนองคาย!J262+หนองบัวลำภู!J262+อำนาจเจริญ!J262+อุดรธานี!J262+อุบลราชธานี!J262</f>
        <v>8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กาฬสินธุ์!J263+ขอนแก่น!J263+ชัยภูมิ!J263+นครพนม!J263+นครราชสีมา!J263+บึงกาฬ!J263+บุรีรัมย์!J263+มหาสารคาม!J263+มุกดาหาร!J263+ยโสธร!J263+ร้อยเอ็ด!J263+เลย!J263+ศรีสะเกษ!J263+สกลนคร!J263+สุรินทร์!J263+หนองคาย!J263+หนองบัวลำภู!J263+อำนาจเจริญ!J263+อุดรธานี!J263+อุบลราชธานี!J263</f>
        <v>8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กาฬสินธุ์!I264+ขอนแก่น!I264+ชัยภูมิ!I264+นครพนม!I264+นครราชสีมา!I264+บึงกาฬ!I264+บุรีรัมย์!I264+มหาสารคาม!I264+มุกดาหาร!I264+ยโสธร!I264+ร้อยเอ็ด!I264+เลย!I264+ศรีสะเกษ!I264+สกลนคร!I264+สุรินทร์!I264+หนองคาย!I264+หนองบัวลำภู!I264+อำนาจเจริญ!I264+อุดรธานี!I264+อุบลราชธานี!I264</f>
        <v>9</v>
      </c>
      <c r="J264" s="189">
        <f ca="1">กาฬสินธุ์!J264+ขอนแก่น!J264+ชัยภูมิ!J264+นครพนม!J264+นครราชสีมา!J264+บึงกาฬ!J264+บุรีรัมย์!J264+มหาสารคาม!J264+มุกดาหาร!J264+ยโสธร!J264+ร้อยเอ็ด!J264+เลย!J264+ศรีสะเกษ!J264+สกลนคร!J264+สุรินทร์!J264+หนองคาย!J264+หนองบัวลำภู!J264+อำนาจเจริญ!J264+อุดรธานี!J264+อุบลราชธานี!J264</f>
        <v>4</v>
      </c>
      <c r="K264" s="163">
        <f t="shared" ref="K264:K267" ca="1" si="63">IF(I264&gt;0,J264*100/I264,0)</f>
        <v>44.444444444444443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กาฬสินธุ์!I265+ขอนแก่น!I265+ชัยภูมิ!I265+นครพนม!I265+นครราชสีมา!I265+บึงกาฬ!I265+บุรีรัมย์!I265+มหาสารคาม!I265+มุกดาหาร!I265+ยโสธร!I265+ร้อยเอ็ด!I265+เลย!I265+ศรีสะเกษ!I265+สกลนคร!I265+สุรินทร์!I265+หนองคาย!I265+หนองบัวลำภู!I265+อำนาจเจริญ!I265+อุดรธานี!I265+อุบลราชธานี!I265</f>
        <v>240</v>
      </c>
      <c r="J265" s="189">
        <f ca="1">กาฬสินธุ์!J265+ขอนแก่น!J265+ชัยภูมิ!J265+นครพนม!J265+นครราชสีมา!J265+บึงกาฬ!J265+บุรีรัมย์!J265+มหาสารคาม!J265+มุกดาหาร!J265+ยโสธร!J265+ร้อยเอ็ด!J265+เลย!J265+ศรีสะเกษ!J265+สกลนคร!J265+สุรินทร์!J265+หนองคาย!J265+หนองบัวลำภู!J265+อำนาจเจริญ!J265+อุดรธานี!J265+อุบลราชธานี!J265</f>
        <v>228</v>
      </c>
      <c r="K265" s="163">
        <f t="shared" ca="1" si="63"/>
        <v>95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กาฬสินธุ์!I266+ขอนแก่น!I266+ชัยภูมิ!I266+นครพนม!I266+นครราชสีมา!I266+บึงกาฬ!I266+บุรีรัมย์!I266+มหาสารคาม!I266+มุกดาหาร!I266+ยโสธร!I266+ร้อยเอ็ด!I266+เลย!I266+ศรีสะเกษ!I266+สกลนคร!I266+สุรินทร์!I266+หนองคาย!I266+หนองบัวลำภู!I266+อำนาจเจริญ!I266+อุดรธานี!I266+อุบลราชธานี!I266</f>
        <v>240</v>
      </c>
      <c r="J266" s="189">
        <f ca="1">กาฬสินธุ์!J266+ขอนแก่น!J266+ชัยภูมิ!J266+นครพนม!J266+นครราชสีมา!J266+บึงกาฬ!J266+บุรีรัมย์!J266+มหาสารคาม!J266+มุกดาหาร!J266+ยโสธร!J266+ร้อยเอ็ด!J266+เลย!J266+ศรีสะเกษ!J266+สกลนคร!J266+สุรินทร์!J266+หนองคาย!J266+หนองบัวลำภู!J266+อำนาจเจริญ!J266+อุดรธานี!J266+อุบลราชธานี!J266</f>
        <v>0</v>
      </c>
      <c r="K266" s="163">
        <f t="shared" ca="1" si="63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กาฬสินธุ์!I267+ขอนแก่น!I267+ชัยภูมิ!I267+นครพนม!I267+นครราชสีมา!I267+บึงกาฬ!I267+บุรีรัมย์!I267+มหาสารคาม!I267+มุกดาหาร!I267+ยโสธร!I267+ร้อยเอ็ด!I267+เลย!I267+ศรีสะเกษ!I267+สกลนคร!I267+สุรินทร์!I267+หนองคาย!I267+หนองบัวลำภู!I267+อำนาจเจริญ!I267+อุดรธานี!I267+อุบลราชธานี!I267</f>
        <v>9</v>
      </c>
      <c r="J267" s="189">
        <f ca="1">กาฬสินธุ์!J267+ขอนแก่น!J267+ชัยภูมิ!J267+นครพนม!J267+นครราชสีมา!J267+บึงกาฬ!J267+บุรีรัมย์!J267+มหาสารคาม!J267+มุกดาหาร!J267+ยโสธร!J267+ร้อยเอ็ด!J267+เลย!J267+ศรีสะเกษ!J267+สกลนคร!J267+สุรินทร์!J267+หนองคาย!J267+หนองบัวลำภู!J267+อำนาจเจริญ!J267+อุดรธานี!J267+อุบลราชธานี!J267</f>
        <v>7</v>
      </c>
      <c r="K267" s="163">
        <f t="shared" ca="1" si="63"/>
        <v>77.777777777777771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กาฬสินธุ์!J268+ขอนแก่น!J268+ชัยภูมิ!J268+นครพนม!J268+นครราชสีมา!J268+บึงกาฬ!J268+บุรีรัมย์!J268+มหาสารคาม!J268+มุกดาหาร!J268+ยโสธร!J268+ร้อยเอ็ด!J268+เลย!J268+ศรีสะเกษ!J268+สกลนคร!J268+สุรินทร์!J268+หนองคาย!J268+หนองบัวลำภู!J268+อำนาจเจริญ!J268+อุดรธานี!J268+อุบลราชธานี!J268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กาฬสินธุ์!J269+ขอนแก่น!J269+ชัยภูมิ!J269+นครพนม!J269+นครราชสีมา!J269+บึงกาฬ!J269+บุรีรัมย์!J269+มหาสารคาม!J269+มุกดาหาร!J269+ยโสธร!J269+ร้อยเอ็ด!J269+เลย!J269+ศรีสะเกษ!J269+สกลนคร!J269+สุรินทร์!J269+หนองคาย!J269+หนองบัวลำภู!J269+อำนาจเจริญ!J269+อุดรธานี!J269+อุบลราชธานี!J269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กาฬสินธุ์!I270+ขอนแก่น!I270+ชัยภูมิ!I270+นครพนม!I270+นครราชสีมา!I270+บึงกาฬ!I270+บุรีรัมย์!I270+มหาสารคาม!I270+มุกดาหาร!I270+ยโสธร!I270+ร้อยเอ็ด!I270+เลย!I270+ศรีสะเกษ!I270+สกลนคร!I270+สุรินทร์!I270+หนองคาย!I270+หนองบัวลำภู!I270+อำนาจเจริญ!I270+อุดรธานี!I270+อุบลราชธานี!I270</f>
        <v>255</v>
      </c>
      <c r="J270" s="316">
        <f ca="1">กาฬสินธุ์!J270+ขอนแก่น!J270+ชัยภูมิ!J270+นครพนม!J270+นครราชสีมา!J270+บึงกาฬ!J270+บุรีรัมย์!J270+มหาสารคาม!J270+มุกดาหาร!J270+ยโสธร!J270+ร้อยเอ็ด!J270+เลย!J270+ศรีสะเกษ!J270+สกลนคร!J270+สุรินทร์!J270+หนองคาย!J270+หนองบัวลำภู!J270+อำนาจเจริญ!J270+อุดรธานี!J270+อุบลราชธานี!J270</f>
        <v>255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54" t="s">
        <v>17</v>
      </c>
      <c r="E271" s="555"/>
      <c r="F271" s="555"/>
      <c r="G271" s="555"/>
      <c r="H271" s="149" t="s">
        <v>12</v>
      </c>
      <c r="I271" s="162"/>
      <c r="J271" s="162"/>
      <c r="K271" s="163"/>
      <c r="L271" s="152">
        <f ca="1">กาฬสินธุ์!L271+ขอนแก่น!L271+ชัยภูมิ!L271+นครพนม!L271+นครราชสีมา!L271+บึงกาฬ!L271+บุรีรัมย์!L271+มหาสารคาม!L271+มุกดาหาร!L271+ยโสธร!L271+ร้อยเอ็ด!L271+เลย!L271+ศรีสะเกษ!L271+สกลนคร!L271+สุรินทร์!L271+หนองคาย!L271+หนองบัวลำภู!L271+อำนาจเจริญ!L271+อุดรธานี!L271+อุบลราชธานี!L271</f>
        <v>2016400</v>
      </c>
      <c r="M271" s="152">
        <f ca="1">กาฬสินธุ์!M271+ขอนแก่น!M271+ชัยภูมิ!M271+นครพนม!M271+นครราชสีมา!M271+บึงกาฬ!M271+บุรีรัมย์!M271+มหาสารคาม!M271+มุกดาหาร!M271+ยโสธร!M271+ร้อยเอ็ด!M271+เลย!M271+ศรีสะเกษ!M271+สกลนคร!M271+สุรินทร์!M271+หนองคาย!M271+หนองบัวลำภู!M271+อำนาจเจริญ!M271+อุดรธานี!M271+อุบลราชธานี!M271</f>
        <v>1527250</v>
      </c>
      <c r="N271" s="152">
        <f ca="1">กาฬสินธุ์!N271+ขอนแก่น!N271+ชัยภูมิ!N271+นครพนม!N271+นครราชสีมา!N271+บึงกาฬ!N271+บุรีรัมย์!N271+มหาสารคาม!N271+มุกดาหาร!N271+ยโสธร!N271+ร้อยเอ็ด!N271+เลย!N271+ศรีสะเกษ!N271+สกลนคร!N271+สุรินทร์!N271+หนองคาย!N271+หนองบัวลำภู!N271+อำนาจเจริญ!N271+อุดรธานี!N271+อุบลราชธานี!N271</f>
        <v>945792.16</v>
      </c>
      <c r="O271" s="151">
        <f t="shared" ref="O271:O273" ca="1" si="64">IF(L271&gt;0,N271*100/L271,0)</f>
        <v>46.904987105732992</v>
      </c>
      <c r="P271" s="151">
        <f t="shared" ref="P271:P273" ca="1" si="65">IF(M271&gt;0,N271*100/M271,0)</f>
        <v>61.927789163529219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>กาฬสินธุ์!L272+ขอนแก่น!L272+ชัยภูมิ!L272+นครพนม!L272+นครราชสีมา!L272+บึงกาฬ!L272+บุรีรัมย์!L272+มหาสารคาม!L272+มุกดาหาร!L272+ยโสธร!L272+ร้อยเอ็ด!L272+เลย!L272+ศรีสะเกษ!L272+สกลนคร!L272+สุรินทร์!L272+หนองคาย!L272+หนองบัวลำภู!L272+อำนาจเจริญ!L272+อุดรธานี!L272+อุบลราชธานี!L272</f>
        <v>0</v>
      </c>
      <c r="M272" s="157">
        <f>กาฬสินธุ์!M272+ขอนแก่น!M272+ชัยภูมิ!M272+นครพนม!M272+นครราชสีมา!M272+บึงกาฬ!M272+บุรีรัมย์!M272+มหาสารคาม!M272+มุกดาหาร!M272+ยโสธร!M272+ร้อยเอ็ด!M272+เลย!M272+ศรีสะเกษ!M272+สกลนคร!M272+สุรินทร์!M272+หนองคาย!M272+หนองบัวลำภู!M272+อำนาจเจริญ!M272+อุดรธานี!M272+อุบลราชธานี!M272</f>
        <v>0</v>
      </c>
      <c r="N272" s="157">
        <f>กาฬสินธุ์!N272+ขอนแก่น!N272+ชัยภูมิ!N272+นครพนม!N272+นครราชสีมา!N272+บึงกาฬ!N272+บุรีรัมย์!N272+มหาสารคาม!N272+มุกดาหาร!N272+ยโสธร!N272+ร้อยเอ็ด!N272+เลย!N272+ศรีสะเกษ!N272+สกลนคร!N272+สุรินทร์!N272+หนองคาย!N272+หนองบัวลำภู!N272+อำนาจเจริญ!N272+อุดรธานี!N272+อุบลราชธานี!N272</f>
        <v>0</v>
      </c>
      <c r="O272" s="156">
        <f t="shared" si="64"/>
        <v>0</v>
      </c>
      <c r="P272" s="156">
        <f t="shared" si="6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ca="1">กาฬสินธุ์!L273+ขอนแก่น!L273+ชัยภูมิ!L273+นครพนม!L273+นครราชสีมา!L273+บึงกาฬ!L273+บุรีรัมย์!L273+มหาสารคาม!L273+มุกดาหาร!L273+ยโสธร!L273+ร้อยเอ็ด!L273+เลย!L273+ศรีสะเกษ!L273+สกลนคร!L273+สุรินทร์!L273+หนองคาย!L273+หนองบัวลำภู!L273+อำนาจเจริญ!L273+อุดรธานี!L273+อุบลราชธานี!L273</f>
        <v>2016400</v>
      </c>
      <c r="M273" s="157">
        <f ca="1">กาฬสินธุ์!M273+ขอนแก่น!M273+ชัยภูมิ!M273+นครพนม!M273+นครราชสีมา!M273+บึงกาฬ!M273+บุรีรัมย์!M273+มหาสารคาม!M273+มุกดาหาร!M273+ยโสธร!M273+ร้อยเอ็ด!M273+เลย!M273+ศรีสะเกษ!M273+สกลนคร!M273+สุรินทร์!M273+หนองคาย!M273+หนองบัวลำภู!M273+อำนาจเจริญ!M273+อุดรธานี!M273+อุบลราชธานี!M273</f>
        <v>1527250</v>
      </c>
      <c r="N273" s="157">
        <f ca="1">กาฬสินธุ์!N273+ขอนแก่น!N273+ชัยภูมิ!N273+นครพนม!N273+นครราชสีมา!N273+บึงกาฬ!N273+บุรีรัมย์!N273+มหาสารคาม!N273+มุกดาหาร!N273+ยโสธร!N273+ร้อยเอ็ด!N273+เลย!N273+ศรีสะเกษ!N273+สกลนคร!N273+สุรินทร์!N273+หนองคาย!N273+หนองบัวลำภู!N273+อำนาจเจริญ!N273+อุดรธานี!N273+อุบลราชธานี!N273</f>
        <v>945792.16</v>
      </c>
      <c r="O273" s="156">
        <f t="shared" ca="1" si="64"/>
        <v>46.904987105732992</v>
      </c>
      <c r="P273" s="156">
        <f t="shared" ca="1" si="65"/>
        <v>61.927789163529219</v>
      </c>
    </row>
    <row r="274" spans="1:16" ht="21.75" customHeight="1" x14ac:dyDescent="0.45">
      <c r="A274" s="158"/>
      <c r="B274" s="159"/>
      <c r="C274" s="159" t="s">
        <v>16</v>
      </c>
      <c r="D274" s="552" t="s">
        <v>20</v>
      </c>
      <c r="E274" s="553"/>
      <c r="F274" s="55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f>กาฬสินธุ์!L274+ขอนแก่น!L274+ชัยภูมิ!L274+นครพนม!L274+นครราชสีมา!L274+บึงกาฬ!L274+บุรีรัมย์!L274+มหาสารคาม!L274+มุกดาหาร!L274+ยโสธร!L274+ร้อยเอ็ด!L274+เลย!L274+ศรีสะเกษ!L274+สกลนคร!L274+สุรินทร์!L274+หนองคาย!L274+หนองบัวลำภู!L274+อำนาจเจริญ!L274+อุดรธานี!L274+อุบลราชธานี!L274</f>
        <v>0</v>
      </c>
      <c r="M274" s="164">
        <f>กาฬสินธุ์!M274+ขอนแก่น!M274+ชัยภูมิ!M274+นครพนม!M274+นครราชสีมา!M274+บึงกาฬ!M274+บุรีรัมย์!M274+มหาสารคาม!M274+มุกดาหาร!M274+ยโสธร!M274+ร้อยเอ็ด!M274+เลย!M274+ศรีสะเกษ!M274+สกลนคร!M274+สุรินทร์!M274+หนองคาย!M274+หนองบัวลำภู!M274+อำนาจเจริญ!M274+อุดรธานี!M274+อุบลราชธานี!M274</f>
        <v>0</v>
      </c>
      <c r="N274" s="164">
        <f>กาฬสินธุ์!N274+ขอนแก่น!N274+ชัยภูมิ!N274+นครพนม!N274+นครราชสีมา!N274+บึงกาฬ!N274+บุรีรัมย์!N274+มหาสารคาม!N274+มุกดาหาร!N274+ยโสธร!N274+ร้อยเอ็ด!N274+เลย!N274+ศรีสะเกษ!N274+สกลนคร!N274+สุรินทร์!N274+หนองคาย!N274+หนองบัวลำภู!N274+อำนาจเจริญ!N274+อุดรธานี!N274+อุบลราชธานี!N274</f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กาฬสินธุ์!L275+ขอนแก่น!L275+ชัยภูมิ!L275+นครพนม!L275+นครราชสีมา!L275+บึงกาฬ!L275+บุรีรัมย์!L275+มหาสารคาม!L275+มุกดาหาร!L275+ยโสธร!L275+ร้อยเอ็ด!L275+เลย!L275+ศรีสะเกษ!L275+สกลนคร!L275+สุรินทร์!L275+หนองคาย!L275+หนองบัวลำภู!L275+อำนาจเจริญ!L275+อุดรธานี!L275+อุบลราชธานี!L275</f>
        <v>2016400</v>
      </c>
      <c r="M275" s="168">
        <f ca="1">กาฬสินธุ์!M275+ขอนแก่น!M275+ชัยภูมิ!M275+นครพนม!M275+นครราชสีมา!M275+บึงกาฬ!M275+บุรีรัมย์!M275+มหาสารคาม!M275+มุกดาหาร!M275+ยโสธร!M275+ร้อยเอ็ด!M275+เลย!M275+ศรีสะเกษ!M275+สกลนคร!M275+สุรินทร์!M275+หนองคาย!M275+หนองบัวลำภู!M275+อำนาจเจริญ!M275+อุดรธานี!M275+อุบลราชธานี!M275</f>
        <v>1527250</v>
      </c>
      <c r="N275" s="169">
        <f ca="1">กาฬสินธุ์!N275+ขอนแก่น!N275+ชัยภูมิ!N275+นครพนม!N275+นครราชสีมา!N275+บึงกาฬ!N275+บุรีรัมย์!N275+มหาสารคาม!N275+มุกดาหาร!N275+ยโสธร!N275+ร้อยเอ็ด!N275+เลย!N275+ศรีสะเกษ!N275+สกลนคร!N275+สุรินทร์!N275+หนองคาย!N275+หนองบัวลำภู!N275+อำนาจเจริญ!N275+อุดรธานี!N275+อุบลราชธานี!N275</f>
        <v>945792.16</v>
      </c>
      <c r="O275" s="169">
        <f ca="1">IF(L275&gt;0,N275*100/L275,0)</f>
        <v>46.904987105732992</v>
      </c>
      <c r="P275" s="169">
        <f ca="1">IF(M275&gt;0,N275*100/M275,0)</f>
        <v>61.927789163529219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กาฬสินธุ์!L276+ขอนแก่น!L276+ชัยภูมิ!L276+นครพนม!L276+นครราชสีมา!L276+บึงกาฬ!L276+บุรีรัมย์!L276+มหาสารคาม!L276+มุกดาหาร!L276+ยโสธร!L276+ร้อยเอ็ด!L276+เลย!L276+ศรีสะเกษ!L276+สกลนคร!L276+สุรินทร์!L276+หนองคาย!L276+หนองบัวลำภู!L276+อำนาจเจริญ!L276+อุดรธานี!L276+อุบลราชธานี!L276</f>
        <v>528000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กาฬสินธุ์!L277+ขอนแก่น!L277+ชัยภูมิ!L277+นครพนม!L277+นครราชสีมา!L277+บึงกาฬ!L277+บุรีรัมย์!L277+มหาสารคาม!L277+มุกดาหาร!L277+ยโสธร!L277+ร้อยเอ็ด!L277+เลย!L277+ศรีสะเกษ!L277+สกลนคร!L277+สุรินทร์!L277+หนองคาย!L277+หนองบัวลำภู!L277+อำนาจเจริญ!L277+อุดรธานี!L277+อุบลราชธานี!L277</f>
        <v>1488400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52" t="s">
        <v>23</v>
      </c>
      <c r="E278" s="553"/>
      <c r="F278" s="89"/>
      <c r="G278" s="82" t="s">
        <v>18</v>
      </c>
      <c r="H278" s="172" t="s">
        <v>12</v>
      </c>
      <c r="I278" s="162"/>
      <c r="J278" s="162"/>
      <c r="K278" s="163"/>
      <c r="L278" s="41">
        <f>กาฬสินธุ์!L278+ขอนแก่น!L278+ชัยภูมิ!L278+นครพนม!L278+นครราชสีมา!L278+บึงกาฬ!L278+บุรีรัมย์!L278+มหาสารคาม!L278+มุกดาหาร!L278+ยโสธร!L278+ร้อยเอ็ด!L278+เลย!L278+ศรีสะเกษ!L278+สกลนคร!L278+สุรินทร์!L278+หนองคาย!L278+หนองบัวลำภู!L278+อำนาจเจริญ!L278+อุดรธานี!L278+อุบลราชธานี!L278</f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กาฬสินธุ์!L279+ขอนแก่น!L279+ชัยภูมิ!L279+นครพนม!L279+นครราชสีมา!L279+บึงกาฬ!L279+บุรีรัมย์!L279+มหาสารคาม!L279+มุกดาหาร!L279+ยโสธร!L279+ร้อยเอ็ด!L279+เลย!L279+ศรีสะเกษ!L279+สกลนคร!L279+สุรินทร์!L279+หนองคาย!L279+หนองบัวลำภู!L279+อำนาจเจริญ!L279+อุดรธานี!L279+อุบลราชธานี!L279</f>
        <v>0</v>
      </c>
      <c r="M279" s="49"/>
      <c r="N279" s="49">
        <f ca="1">กาฬสินธุ์!N279+ขอนแก่น!N279+ชัยภูมิ!N279+นครพนม!N279+นครราชสีมา!N279+บึงกาฬ!N279+บุรีรัมย์!N279+มหาสารคาม!N279+มุกดาหาร!N279+ยโสธร!N279+ร้อยเอ็ด!N279+เลย!N279+ศรีสะเกษ!N279+สกลนคร!N279+สุรินทร์!N279+หนองคาย!N279+หนองบัวลำภู!N279+อำนาจเจริญ!N279+อุดรธานี!N279+อุบลราชธานี!N279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กาฬสินธุ์!J281+ขอนแก่น!J281+ชัยภูมิ!J281+นครพนม!J281+นครราชสีมา!J281+บึงกาฬ!J281+บุรีรัมย์!J281+มหาสารคาม!J281+มุกดาหาร!J281+ยโสธร!J281+ร้อยเอ็ด!J281+เลย!J281+ศรีสะเกษ!J281+สกลนคร!J281+สุรินทร์!J281+หนองคาย!J281+หนองบัวลำภู!J281+อำนาจเจริญ!J281+อุดรธานี!J281+อุบลราชธานี!J281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กาฬสินธุ์!J282+ขอนแก่น!J282+ชัยภูมิ!J282+นครพนม!J282+นครราชสีมา!J282+บึงกาฬ!J282+บุรีรัมย์!J282+มหาสารคาม!J282+มุกดาหาร!J282+ยโสธร!J282+ร้อยเอ็ด!J282+เลย!J282+ศรีสะเกษ!J282+สกลนคร!J282+สุรินทร์!J282+หนองคาย!J282+หนองบัวลำภู!J282+อำนาจเจริญ!J282+อุดรธานี!J282+อุบลราชธานี!J282</f>
        <v>15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กาฬสินธุ์!J283+ขอนแก่น!J283+ชัยภูมิ!J283+นครพนม!J283+นครราชสีมา!J283+บึงกาฬ!J283+บุรีรัมย์!J283+มหาสารคาม!J283+มุกดาหาร!J283+ยโสธร!J283+ร้อยเอ็ด!J283+เลย!J283+ศรีสะเกษ!J283+สกลนคร!J283+สุรินทร์!J283+หนองคาย!J283+หนองบัวลำภู!J283+อำนาจเจริญ!J283+อุดรธานี!J283+อุบลราชธานี!J283</f>
        <v>14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กาฬสินธุ์!J284+ขอนแก่น!J284+ชัยภูมิ!J284+นครพนม!J284+นครราชสีมา!J284+บึงกาฬ!J284+บุรีรัมย์!J284+มหาสารคาม!J284+มุกดาหาร!J284+ยโสธร!J284+ร้อยเอ็ด!J284+เลย!J284+ศรีสะเกษ!J284+สกลนคร!J284+สุรินทร์!J284+หนองคาย!J284+หนองบัวลำภู!J284+อำนาจเจริญ!J284+อุดรธานี!J284+อุบลราชธานี!J284</f>
        <v>11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กาฬสินธุ์!I285+ขอนแก่น!I285+ชัยภูมิ!I285+นครพนม!I285+นครราชสีมา!I285+บึงกาฬ!I285+บุรีรัมย์!I285+มหาสารคาม!I285+มุกดาหาร!I285+ยโสธร!I285+ร้อยเอ็ด!I285+เลย!I285+ศรีสะเกษ!I285+สกลนคร!I285+สุรินทร์!I285+หนองคาย!I285+หนองบัวลำภู!I285+อำนาจเจริญ!I285+อุดรธานี!I285+อุบลราชธานี!I285</f>
        <v>255</v>
      </c>
      <c r="J285" s="189">
        <f ca="1">กาฬสินธุ์!J285+ขอนแก่น!J285+ชัยภูมิ!J285+นครพนม!J285+นครราชสีมา!J285+บึงกาฬ!J285+บุรีรัมย์!J285+มหาสารคาม!J285+มุกดาหาร!J285+ยโสธร!J285+ร้อยเอ็ด!J285+เลย!J285+ศรีสะเกษ!J285+สกลนคร!J285+สุรินทร์!J285+หนองคาย!J285+หนองบัวลำภู!J285+อำนาจเจริญ!J285+อุดรธานี!J285+อุบลราชธานี!J285</f>
        <v>255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กาฬสินธุ์!J286+ขอนแก่น!J286+ชัยภูมิ!J286+นครพนม!J286+นครราชสีมา!J286+บึงกาฬ!J286+บุรีรัมย์!J286+มหาสารคาม!J286+มุกดาหาร!J286+ยโสธร!J286+ร้อยเอ็ด!J286+เลย!J286+ศรีสะเกษ!J286+สกลนคร!J286+สุรินทร์!J286+หนองคาย!J286+หนองบัวลำภู!J286+อำนาจเจริญ!J286+อุดรธานี!J286+อุบลราชธานี!J286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กาฬสินธุ์!J287+ขอนแก่น!J287+ชัยภูมิ!J287+นครพนม!J287+นครราชสีมา!J287+บึงกาฬ!J287+บุรีรัมย์!J287+มหาสารคาม!J287+มุกดาหาร!J287+ยโสธร!J287+ร้อยเอ็ด!J287+เลย!J287+ศรีสะเกษ!J287+สกลนคร!J287+สุรินทร์!J287+หนองคาย!J287+หนองบัวลำภู!J287+อำนาจเจริญ!J287+อุดรธานี!J287+อุบลราชธานี!J287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กาฬสินธุ์!I289+ขอนแก่น!I289+ชัยภูมิ!I289+นครพนม!I289+นครราชสีมา!I289+บึงกาฬ!I289+บุรีรัมย์!I289+มหาสารคาม!I289+มุกดาหาร!I289+ยโสธร!I289+ร้อยเอ็ด!I289+เลย!I289+ศรีสะเกษ!I289+สกลนคร!I289+สุรินทร์!I289+หนองคาย!I289+หนองบัวลำภู!I289+อำนาจเจริญ!I289+อุดรธานี!I289+อุบลราชธานี!I289</f>
        <v>35</v>
      </c>
      <c r="J289" s="316">
        <f ca="1">กาฬสินธุ์!J289+ขอนแก่น!J289+ชัยภูมิ!J289+นครพนม!J289+นครราชสีมา!J289+บึงกาฬ!J289+บุรีรัมย์!J289+มหาสารคาม!J289+มุกดาหาร!J289+ยโสธร!J289+ร้อยเอ็ด!J289+เลย!J289+ศรีสะเกษ!J289+สกลนคร!J289+สุรินทร์!J289+หนองคาย!J289+หนองบัวลำภู!J289+อำนาจเจริญ!J289+อุดรธานี!J289+อุบลราชธานี!J289</f>
        <v>20</v>
      </c>
      <c r="K289" s="317">
        <f ca="1">IF(I289&gt;0,J289*100/I289,0)</f>
        <v>57.142857142857146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54" t="s">
        <v>17</v>
      </c>
      <c r="E290" s="555"/>
      <c r="F290" s="555"/>
      <c r="G290" s="555"/>
      <c r="H290" s="149" t="s">
        <v>12</v>
      </c>
      <c r="I290" s="188"/>
      <c r="J290" s="188"/>
      <c r="K290" s="224"/>
      <c r="L290" s="152">
        <f ca="1">กาฬสินธุ์!L290+ขอนแก่น!L290+ชัยภูมิ!L290+นครพนม!L290+นครราชสีมา!L290+บึงกาฬ!L290+บุรีรัมย์!L290+มหาสารคาม!L290+มุกดาหาร!L290+ยโสธร!L290+ร้อยเอ็ด!L290+เลย!L290+ศรีสะเกษ!L290+สกลนคร!L290+สุรินทร์!L290+หนองคาย!L290+หนองบัวลำภู!L290+อำนาจเจริญ!L290+อุดรธานี!L290+อุบลราชธานี!L290</f>
        <v>147180</v>
      </c>
      <c r="M290" s="152">
        <f ca="1">กาฬสินธุ์!M290+ขอนแก่น!M290+ชัยภูมิ!M290+นครพนม!M290+นครราชสีมา!M290+บึงกาฬ!M290+บุรีรัมย์!M290+มหาสารคาม!M290+มุกดาหาร!M290+ยโสธร!M290+ร้อยเอ็ด!M290+เลย!M290+ศรีสะเกษ!M290+สกลนคร!M290+สุรินทร์!M290+หนองคาย!M290+หนองบัวลำภู!M290+อำนาจเจริญ!M290+อุดรธานี!M290+อุบลราชธานี!M290</f>
        <v>147180</v>
      </c>
      <c r="N290" s="152">
        <f ca="1">กาฬสินธุ์!N290+ขอนแก่น!N290+ชัยภูมิ!N290+นครพนม!N290+นครราชสีมา!N290+บึงกาฬ!N290+บุรีรัมย์!N290+มหาสารคาม!N290+มุกดาหาร!N290+ยโสธร!N290+ร้อยเอ็ด!N290+เลย!N290+ศรีสะเกษ!N290+สกลนคร!N290+สุรินทร์!N290+หนองคาย!N290+หนองบัวลำภู!N290+อำนาจเจริญ!N290+อุดรธานี!N290+อุบลราชธานี!N290</f>
        <v>52378</v>
      </c>
      <c r="O290" s="151">
        <f t="shared" ref="O290:O292" ca="1" si="66">IF(L290&gt;0,N290*100/L290,0)</f>
        <v>35.587715722244873</v>
      </c>
      <c r="P290" s="151">
        <f t="shared" ref="P290:P292" ca="1" si="67">IF(M290&gt;0,N290*100/M290,0)</f>
        <v>35.587715722244873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>กาฬสินธุ์!L291+ขอนแก่น!L291+ชัยภูมิ!L291+นครพนม!L291+นครราชสีมา!L291+บึงกาฬ!L291+บุรีรัมย์!L291+มหาสารคาม!L291+มุกดาหาร!L291+ยโสธร!L291+ร้อยเอ็ด!L291+เลย!L291+ศรีสะเกษ!L291+สกลนคร!L291+สุรินทร์!L291+หนองคาย!L291+หนองบัวลำภู!L291+อำนาจเจริญ!L291+อุดรธานี!L291+อุบลราชธานี!L291</f>
        <v>0</v>
      </c>
      <c r="M291" s="157">
        <f>กาฬสินธุ์!M291+ขอนแก่น!M291+ชัยภูมิ!M291+นครพนม!M291+นครราชสีมา!M291+บึงกาฬ!M291+บุรีรัมย์!M291+มหาสารคาม!M291+มุกดาหาร!M291+ยโสธร!M291+ร้อยเอ็ด!M291+เลย!M291+ศรีสะเกษ!M291+สกลนคร!M291+สุรินทร์!M291+หนองคาย!M291+หนองบัวลำภู!M291+อำนาจเจริญ!M291+อุดรธานี!M291+อุบลราชธานี!M291</f>
        <v>0</v>
      </c>
      <c r="N291" s="157">
        <f>กาฬสินธุ์!N291+ขอนแก่น!N291+ชัยภูมิ!N291+นครพนม!N291+นครราชสีมา!N291+บึงกาฬ!N291+บุรีรัมย์!N291+มหาสารคาม!N291+มุกดาหาร!N291+ยโสธร!N291+ร้อยเอ็ด!N291+เลย!N291+ศรีสะเกษ!N291+สกลนคร!N291+สุรินทร์!N291+หนองคาย!N291+หนองบัวลำภู!N291+อำนาจเจริญ!N291+อุดรธานี!N291+อุบลราชธานี!N291</f>
        <v>0</v>
      </c>
      <c r="O291" s="156">
        <f t="shared" si="66"/>
        <v>0</v>
      </c>
      <c r="P291" s="156">
        <f t="shared" si="67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ca="1">กาฬสินธุ์!L292+ขอนแก่น!L292+ชัยภูมิ!L292+นครพนม!L292+นครราชสีมา!L292+บึงกาฬ!L292+บุรีรัมย์!L292+มหาสารคาม!L292+มุกดาหาร!L292+ยโสธร!L292+ร้อยเอ็ด!L292+เลย!L292+ศรีสะเกษ!L292+สกลนคร!L292+สุรินทร์!L292+หนองคาย!L292+หนองบัวลำภู!L292+อำนาจเจริญ!L292+อุดรธานี!L292+อุบลราชธานี!L292</f>
        <v>147180</v>
      </c>
      <c r="M292" s="157">
        <f ca="1">กาฬสินธุ์!M292+ขอนแก่น!M292+ชัยภูมิ!M292+นครพนม!M292+นครราชสีมา!M292+บึงกาฬ!M292+บุรีรัมย์!M292+มหาสารคาม!M292+มุกดาหาร!M292+ยโสธร!M292+ร้อยเอ็ด!M292+เลย!M292+ศรีสะเกษ!M292+สกลนคร!M292+สุรินทร์!M292+หนองคาย!M292+หนองบัวลำภู!M292+อำนาจเจริญ!M292+อุดรธานี!M292+อุบลราชธานี!M292</f>
        <v>147180</v>
      </c>
      <c r="N292" s="157">
        <f ca="1">กาฬสินธุ์!N292+ขอนแก่น!N292+ชัยภูมิ!N292+นครพนม!N292+นครราชสีมา!N292+บึงกาฬ!N292+บุรีรัมย์!N292+มหาสารคาม!N292+มุกดาหาร!N292+ยโสธร!N292+ร้อยเอ็ด!N292+เลย!N292+ศรีสะเกษ!N292+สกลนคร!N292+สุรินทร์!N292+หนองคาย!N292+หนองบัวลำภู!N292+อำนาจเจริญ!N292+อุดรธานี!N292+อุบลราชธานี!N292</f>
        <v>52378</v>
      </c>
      <c r="O292" s="156">
        <f t="shared" ca="1" si="66"/>
        <v>35.587715722244873</v>
      </c>
      <c r="P292" s="156">
        <f t="shared" ca="1" si="67"/>
        <v>35.587715722244873</v>
      </c>
    </row>
    <row r="293" spans="1:16" ht="21.75" customHeight="1" x14ac:dyDescent="0.45">
      <c r="A293" s="158"/>
      <c r="B293" s="159"/>
      <c r="C293" s="159" t="s">
        <v>16</v>
      </c>
      <c r="D293" s="552" t="s">
        <v>20</v>
      </c>
      <c r="E293" s="553"/>
      <c r="F293" s="55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f>กาฬสินธุ์!L293+ขอนแก่น!L293+ชัยภูมิ!L293+นครพนม!L293+นครราชสีมา!L293+บึงกาฬ!L293+บุรีรัมย์!L293+มหาสารคาม!L293+มุกดาหาร!L293+ยโสธร!L293+ร้อยเอ็ด!L293+เลย!L293+ศรีสะเกษ!L293+สกลนคร!L293+สุรินทร์!L293+หนองคาย!L293+หนองบัวลำภู!L293+อำนาจเจริญ!L293+อุดรธานี!L293+อุบลราชธานี!L293</f>
        <v>0</v>
      </c>
      <c r="M293" s="164">
        <f>กาฬสินธุ์!M293+ขอนแก่น!M293+ชัยภูมิ!M293+นครพนม!M293+นครราชสีมา!M293+บึงกาฬ!M293+บุรีรัมย์!M293+มหาสารคาม!M293+มุกดาหาร!M293+ยโสธร!M293+ร้อยเอ็ด!M293+เลย!M293+ศรีสะเกษ!M293+สกลนคร!M293+สุรินทร์!M293+หนองคาย!M293+หนองบัวลำภู!M293+อำนาจเจริญ!M293+อุดรธานี!M293+อุบลราชธานี!M293</f>
        <v>0</v>
      </c>
      <c r="N293" s="164">
        <f>กาฬสินธุ์!N293+ขอนแก่น!N293+ชัยภูมิ!N293+นครพนม!N293+นครราชสีมา!N293+บึงกาฬ!N293+บุรีรัมย์!N293+มหาสารคาม!N293+มุกดาหาร!N293+ยโสธร!N293+ร้อยเอ็ด!N293+เลย!N293+ศรีสะเกษ!N293+สกลนคร!N293+สุรินทร์!N293+หนองคาย!N293+หนองบัวลำภู!N293+อำนาจเจริญ!N293+อุดรธานี!N293+อุบลราชธานี!N293</f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กาฬสินธุ์!L294+ขอนแก่น!L294+ชัยภูมิ!L294+นครพนม!L294+นครราชสีมา!L294+บึงกาฬ!L294+บุรีรัมย์!L294+มหาสารคาม!L294+มุกดาหาร!L294+ยโสธร!L294+ร้อยเอ็ด!L294+เลย!L294+ศรีสะเกษ!L294+สกลนคร!L294+สุรินทร์!L294+หนองคาย!L294+หนองบัวลำภู!L294+อำนาจเจริญ!L294+อุดรธานี!L294+อุบลราชธานี!L294</f>
        <v>147180</v>
      </c>
      <c r="M294" s="168">
        <f ca="1">กาฬสินธุ์!M294+ขอนแก่น!M294+ชัยภูมิ!M294+นครพนม!M294+นครราชสีมา!M294+บึงกาฬ!M294+บุรีรัมย์!M294+มหาสารคาม!M294+มุกดาหาร!M294+ยโสธร!M294+ร้อยเอ็ด!M294+เลย!M294+ศรีสะเกษ!M294+สกลนคร!M294+สุรินทร์!M294+หนองคาย!M294+หนองบัวลำภู!M294+อำนาจเจริญ!M294+อุดรธานี!M294+อุบลราชธานี!M294</f>
        <v>147180</v>
      </c>
      <c r="N294" s="169">
        <f ca="1">กาฬสินธุ์!N294+ขอนแก่น!N294+ชัยภูมิ!N294+นครพนม!N294+นครราชสีมา!N294+บึงกาฬ!N294+บุรีรัมย์!N294+มหาสารคาม!N294+มุกดาหาร!N294+ยโสธร!N294+ร้อยเอ็ด!N294+เลย!N294+ศรีสะเกษ!N294+สกลนคร!N294+สุรินทร์!N294+หนองคาย!N294+หนองบัวลำภู!N294+อำนาจเจริญ!N294+อุดรธานี!N294+อุบลราชธานี!N294</f>
        <v>52378</v>
      </c>
      <c r="O294" s="169">
        <f ca="1">IF(L294&gt;0,N294*100/L294,0)</f>
        <v>35.587715722244873</v>
      </c>
      <c r="P294" s="169">
        <f ca="1">IF(M294&gt;0,N294*100/M294,0)</f>
        <v>35.587715722244873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กาฬสินธุ์!L295+ขอนแก่น!L295+ชัยภูมิ!L295+นครพนม!L295+นครราชสีมา!L295+บึงกาฬ!L295+บุรีรัมย์!L295+มหาสารคาม!L295+มุกดาหาร!L295+ยโสธร!L295+ร้อยเอ็ด!L295+เลย!L295+ศรีสะเกษ!L295+สกลนคร!L295+สุรินทร์!L295+หนองคาย!L295+หนองบัวลำภู!L295+อำนาจเจริญ!L295+อุดรธานี!L295+อุบลราชธานี!L295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กาฬสินธุ์!L296+ขอนแก่น!L296+ชัยภูมิ!L296+นครพนม!L296+นครราชสีมา!L296+บึงกาฬ!L296+บุรีรัมย์!L296+มหาสารคาม!L296+มุกดาหาร!L296+ยโสธร!L296+ร้อยเอ็ด!L296+เลย!L296+ศรีสะเกษ!L296+สกลนคร!L296+สุรินทร์!L296+หนองคาย!L296+หนองบัวลำภู!L296+อำนาจเจริญ!L296+อุดรธานี!L296+อุบลราชธานี!L296</f>
        <v>147180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52" t="s">
        <v>23</v>
      </c>
      <c r="E297" s="553"/>
      <c r="F297" s="89"/>
      <c r="G297" s="82" t="s">
        <v>18</v>
      </c>
      <c r="H297" s="172" t="s">
        <v>12</v>
      </c>
      <c r="I297" s="188"/>
      <c r="J297" s="188"/>
      <c r="K297" s="224"/>
      <c r="L297" s="41">
        <f>กาฬสินธุ์!L297+ขอนแก่น!L297+ชัยภูมิ!L297+นครพนม!L297+นครราชสีมา!L297+บึงกาฬ!L297+บุรีรัมย์!L297+มหาสารคาม!L297+มุกดาหาร!L297+ยโสธร!L297+ร้อยเอ็ด!L297+เลย!L297+ศรีสะเกษ!L297+สกลนคร!L297+สุรินทร์!L297+หนองคาย!L297+หนองบัวลำภู!L297+อำนาจเจริญ!L297+อุดรธานี!L297+อุบลราชธานี!L297</f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กาฬสินธุ์!L298+ขอนแก่น!L298+ชัยภูมิ!L298+นครพนม!L298+นครราชสีมา!L298+บึงกาฬ!L298+บุรีรัมย์!L298+มหาสารคาม!L298+มุกดาหาร!L298+ยโสธร!L298+ร้อยเอ็ด!L298+เลย!L298+ศรีสะเกษ!L298+สกลนคร!L298+สุรินทร์!L298+หนองคาย!L298+หนองบัวลำภู!L298+อำนาจเจริญ!L298+อุดรธานี!L298+อุบลราชธานี!L298</f>
        <v>0</v>
      </c>
      <c r="M298" s="49"/>
      <c r="N298" s="49">
        <f ca="1">กาฬสินธุ์!N298+ขอนแก่น!N298+ชัยภูมิ!N298+นครพนม!N298+นครราชสีมา!N298+บึงกาฬ!N298+บุรีรัมย์!N298+มหาสารคาม!N298+มุกดาหาร!N298+ยโสธร!N298+ร้อยเอ็ด!N298+เลย!N298+ศรีสะเกษ!N298+สกลนคร!N298+สุรินทร์!N298+หนองคาย!N298+หนองบัวลำภู!N298+อำนาจเจริญ!N298+อุดรธานี!N298+อุบลราชธานี!N298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กาฬสินธุ์!J300+ขอนแก่น!J300+ชัยภูมิ!J300+นครพนม!J300+นครราชสีมา!J300+บึงกาฬ!J300+บุรีรัมย์!J300+มหาสารคาม!J300+มุกดาหาร!J300+ยโสธร!J300+ร้อยเอ็ด!J300+เลย!J300+ศรีสะเกษ!J300+สกลนคร!J300+สุรินทร์!J300+หนองคาย!J300+หนองบัวลำภู!J300+อำนาจเจริญ!J300+อุดรธานี!J300+อุบลราชธานี!J300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กาฬสินธุ์!J301+ขอนแก่น!J301+ชัยภูมิ!J301+นครพนม!J301+นครราชสีมา!J301+บึงกาฬ!J301+บุรีรัมย์!J301+มหาสารคาม!J301+มุกดาหาร!J301+ยโสธร!J301+ร้อยเอ็ด!J301+เลย!J301+ศรีสะเกษ!J301+สกลนคร!J301+สุรินทร์!J301+หนองคาย!J301+หนองบัวลำภู!J301+อำนาจเจริญ!J301+อุดรธานี!J301+อุบลราชธานี!J301</f>
        <v>2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กาฬสินธุ์!J302+ขอนแก่น!J302+ชัยภูมิ!J302+นครพนม!J302+นครราชสีมา!J302+บึงกาฬ!J302+บุรีรัมย์!J302+มหาสารคาม!J302+มุกดาหาร!J302+ยโสธร!J302+ร้อยเอ็ด!J302+เลย!J302+ศรีสะเกษ!J302+สกลนคร!J302+สุรินทร์!J302+หนองคาย!J302+หนองบัวลำภู!J302+อำนาจเจริญ!J302+อุดรธานี!J302+อุบลราชธานี!J302</f>
        <v>2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กาฬสินธุ์!J303+ขอนแก่น!J303+ชัยภูมิ!J303+นครพนม!J303+นครราชสีมา!J303+บึงกาฬ!J303+บุรีรัมย์!J303+มหาสารคาม!J303+มุกดาหาร!J303+ยโสธร!J303+ร้อยเอ็ด!J303+เลย!J303+ศรีสะเกษ!J303+สกลนคร!J303+สุรินทร์!J303+หนองคาย!J303+หนองบัวลำภู!J303+อำนาจเจริญ!J303+อุดรธานี!J303+อุบลราชธานี!J303</f>
        <v>2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กาฬสินธุ์!I304+ขอนแก่น!I304+ชัยภูมิ!I304+นครพนม!I304+นครราชสีมา!I304+บึงกาฬ!I304+บุรีรัมย์!I304+มหาสารคาม!I304+มุกดาหาร!I304+ยโสธร!I304+ร้อยเอ็ด!I304+เลย!I304+ศรีสะเกษ!I304+สกลนคร!I304+สุรินทร์!I304+หนองคาย!I304+หนองบัวลำภู!I304+อำนาจเจริญ!I304+อุดรธานี!I304+อุบลราชธานี!I304</f>
        <v>35</v>
      </c>
      <c r="J304" s="204">
        <f ca="1">กาฬสินธุ์!J304+ขอนแก่น!J304+ชัยภูมิ!J304+นครพนม!J304+นครราชสีมา!J304+บึงกาฬ!J304+บุรีรัมย์!J304+มหาสารคาม!J304+มุกดาหาร!J304+ยโสธร!J304+ร้อยเอ็ด!J304+เลย!J304+ศรีสะเกษ!J304+สกลนคร!J304+สุรินทร์!J304+หนองคาย!J304+หนองบัวลำภู!J304+อำนาจเจริญ!J304+อุดรธานี!J304+อุบลราชธานี!J304</f>
        <v>20</v>
      </c>
      <c r="K304" s="224">
        <f ca="1">IF(I304&gt;0,J304*100/I304,0)</f>
        <v>57.142857142857146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กาฬสินธุ์!I306+ขอนแก่น!I306+ชัยภูมิ!I306+นครพนม!I306+นครราชสีมา!I306+บึงกาฬ!I306+บุรีรัมย์!I306+มหาสารคาม!I306+มุกดาหาร!I306+ยโสธร!I306+ร้อยเอ็ด!I306+เลย!I306+ศรีสะเกษ!I306+สกลนคร!I306+สุรินทร์!I306+หนองคาย!I306+หนองบัวลำภู!I306+อำนาจเจริญ!I306+อุดรธานี!I306+อุบลราชธานี!I306</f>
        <v>35</v>
      </c>
      <c r="J306" s="204">
        <f ca="1">กาฬสินธุ์!J306+ขอนแก่น!J306+ชัยภูมิ!J306+นครพนม!J306+นครราชสีมา!J306+บึงกาฬ!J306+บุรีรัมย์!J306+มหาสารคาม!J306+มุกดาหาร!J306+ยโสธร!J306+ร้อยเอ็ด!J306+เลย!J306+ศรีสะเกษ!J306+สกลนคร!J306+สุรินทร์!J306+หนองคาย!J306+หนองบัวลำภู!J306+อำนาจเจริญ!J306+อุดรธานี!J306+อุบลราชธานี!J306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IFERROR(__xludf.DUMMYFUNCTION("IMPORTRANGE(""https://docs.google.com/spreadsheets/d/1SX6NBoVAgQJ6U1MVXOaj8PK2l7WJ3RER9xtqwdhxkhw/edit?usp=sharing"",""กาญจนบุรี!J212"")"),0)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กาฬสินธุ์!J308+ขอนแก่น!J308+ชัยภูมิ!J308+นครพนม!J308+นครราชสีมา!J308+บึงกาฬ!J308+บุรีรัมย์!J308+มหาสารคาม!J308+มุกดาหาร!J308+ยโสธร!J308+ร้อยเอ็ด!J308+เลย!J308+ศรีสะเกษ!J308+สกลนคร!J308+สุรินทร์!J308+หนองคาย!J308+หนองบัวลำภู!J308+อำนาจเจริญ!J308+อุดรธานี!J308+อุบลราชธานี!J308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กาฬสินธุ์!I309+ขอนแก่น!I309+ชัยภูมิ!I309+นครพนม!I309+นครราชสีมา!I309+บึงกาฬ!I309+บุรีรัมย์!I309+มหาสารคาม!I309+มุกดาหาร!I309+ยโสธร!I309+ร้อยเอ็ด!I309+เลย!I309+ศรีสะเกษ!I309+สกลนคร!I309+สุรินทร์!I309+หนองคาย!I309+หนองบัวลำภู!I309+อำนาจเจริญ!I309+อุดรธานี!I309+อุบลราชธานี!I309</f>
        <v>3</v>
      </c>
      <c r="J309" s="333">
        <f ca="1">กาฬสินธุ์!J309+ขอนแก่น!J309+ชัยภูมิ!J309+นครพนม!J309+นครราชสีมา!J309+บึงกาฬ!J309+บุรีรัมย์!J309+มหาสารคาม!J309+มุกดาหาร!J309+ยโสธร!J309+ร้อยเอ็ด!J309+เลย!J309+ศรีสะเกษ!J309+สกลนคร!J309+สุรินทร์!J309+หนองคาย!J309+หนองบัวลำภู!J309+อำนาจเจริญ!J309+อุดรธานี!J309+อุบลราชธานี!J309</f>
        <v>2</v>
      </c>
      <c r="K309" s="334">
        <f ca="1">IF(I309&gt;0,J309*100/I309,0)</f>
        <v>66.666666666666671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54" t="s">
        <v>17</v>
      </c>
      <c r="E310" s="555"/>
      <c r="F310" s="555"/>
      <c r="G310" s="555"/>
      <c r="H310" s="149" t="s">
        <v>12</v>
      </c>
      <c r="I310" s="336"/>
      <c r="J310" s="336"/>
      <c r="K310" s="337"/>
      <c r="L310" s="152">
        <f ca="1">กาฬสินธุ์!L310+ขอนแก่น!L310+ชัยภูมิ!L310+นครพนม!L310+นครราชสีมา!L310+บึงกาฬ!L310+บุรีรัมย์!L310+มหาสารคาม!L310+มุกดาหาร!L310+ยโสธร!L310+ร้อยเอ็ด!L310+เลย!L310+ศรีสะเกษ!L310+สกลนคร!L310+สุรินทร์!L310+หนองคาย!L310+หนองบัวลำภู!L310+อำนาจเจริญ!L310+อุดรธานี!L310+อุบลราชธานี!L310</f>
        <v>665200</v>
      </c>
      <c r="M310" s="152">
        <f ca="1">กาฬสินธุ์!M310+ขอนแก่น!M310+ชัยภูมิ!M310+นครพนม!M310+นครราชสีมา!M310+บึงกาฬ!M310+บุรีรัมย์!M310+มหาสารคาม!M310+มุกดาหาร!M310+ยโสธร!M310+ร้อยเอ็ด!M310+เลย!M310+ศรีสะเกษ!M310+สกลนคร!M310+สุรินทร์!M310+หนองคาย!M310+หนองบัวลำภู!M310+อำนาจเจริญ!M310+อุดรธานี!M310+อุบลราชธานี!M310</f>
        <v>498900</v>
      </c>
      <c r="N310" s="152">
        <f ca="1">กาฬสินธุ์!N310+ขอนแก่น!N310+ชัยภูมิ!N310+นครพนม!N310+นครราชสีมา!N310+บึงกาฬ!N310+บุรีรัมย์!N310+มหาสารคาม!N310+มุกดาหาร!N310+ยโสธร!N310+ร้อยเอ็ด!N310+เลย!N310+ศรีสะเกษ!N310+สกลนคร!N310+สุรินทร์!N310+หนองคาย!N310+หนองบัวลำภู!N310+อำนาจเจริญ!N310+อุดรธานี!N310+อุบลราชธานี!N310</f>
        <v>222551.16</v>
      </c>
      <c r="O310" s="151">
        <f t="shared" ref="O310:O312" ca="1" si="68">IF(L310&gt;0,N310*100/L310,0)</f>
        <v>33.456277811184606</v>
      </c>
      <c r="P310" s="151">
        <f t="shared" ref="P310:P312" ca="1" si="69">IF(M310&gt;0,N310*100/M310,0)</f>
        <v>44.608370414912805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>กาฬสินธุ์!L311+ขอนแก่น!L311+ชัยภูมิ!L311+นครพนม!L311+นครราชสีมา!L311+บึงกาฬ!L311+บุรีรัมย์!L311+มหาสารคาม!L311+มุกดาหาร!L311+ยโสธร!L311+ร้อยเอ็ด!L311+เลย!L311+ศรีสะเกษ!L311+สกลนคร!L311+สุรินทร์!L311+หนองคาย!L311+หนองบัวลำภู!L311+อำนาจเจริญ!L311+อุดรธานี!L311+อุบลราชธานี!L311</f>
        <v>0</v>
      </c>
      <c r="M311" s="157">
        <f>กาฬสินธุ์!M311+ขอนแก่น!M311+ชัยภูมิ!M311+นครพนม!M311+นครราชสีมา!M311+บึงกาฬ!M311+บุรีรัมย์!M311+มหาสารคาม!M311+มุกดาหาร!M311+ยโสธร!M311+ร้อยเอ็ด!M311+เลย!M311+ศรีสะเกษ!M311+สกลนคร!M311+สุรินทร์!M311+หนองคาย!M311+หนองบัวลำภู!M311+อำนาจเจริญ!M311+อุดรธานี!M311+อุบลราชธานี!M311</f>
        <v>0</v>
      </c>
      <c r="N311" s="157">
        <f>กาฬสินธุ์!N311+ขอนแก่น!N311+ชัยภูมิ!N311+นครพนม!N311+นครราชสีมา!N311+บึงกาฬ!N311+บุรีรัมย์!N311+มหาสารคาม!N311+มุกดาหาร!N311+ยโสธร!N311+ร้อยเอ็ด!N311+เลย!N311+ศรีสะเกษ!N311+สกลนคร!N311+สุรินทร์!N311+หนองคาย!N311+หนองบัวลำภู!N311+อำนาจเจริญ!N311+อุดรธานี!N311+อุบลราชธานี!N311</f>
        <v>0</v>
      </c>
      <c r="O311" s="156">
        <f t="shared" si="68"/>
        <v>0</v>
      </c>
      <c r="P311" s="156">
        <f t="shared" si="69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ca="1">กาฬสินธุ์!L312+ขอนแก่น!L312+ชัยภูมิ!L312+นครพนม!L312+นครราชสีมา!L312+บึงกาฬ!L312+บุรีรัมย์!L312+มหาสารคาม!L312+มุกดาหาร!L312+ยโสธร!L312+ร้อยเอ็ด!L312+เลย!L312+ศรีสะเกษ!L312+สกลนคร!L312+สุรินทร์!L312+หนองคาย!L312+หนองบัวลำภู!L312+อำนาจเจริญ!L312+อุดรธานี!L312+อุบลราชธานี!L312</f>
        <v>665200</v>
      </c>
      <c r="M312" s="157">
        <f ca="1">กาฬสินธุ์!M312+ขอนแก่น!M312+ชัยภูมิ!M312+นครพนม!M312+นครราชสีมา!M312+บึงกาฬ!M312+บุรีรัมย์!M312+มหาสารคาม!M312+มุกดาหาร!M312+ยโสธร!M312+ร้อยเอ็ด!M312+เลย!M312+ศรีสะเกษ!M312+สกลนคร!M312+สุรินทร์!M312+หนองคาย!M312+หนองบัวลำภู!M312+อำนาจเจริญ!M312+อุดรธานี!M312+อุบลราชธานี!M312</f>
        <v>498900</v>
      </c>
      <c r="N312" s="157">
        <f ca="1">กาฬสินธุ์!N312+ขอนแก่น!N312+ชัยภูมิ!N312+นครพนม!N312+นครราชสีมา!N312+บึงกาฬ!N312+บุรีรัมย์!N312+มหาสารคาม!N312+มุกดาหาร!N312+ยโสธร!N312+ร้อยเอ็ด!N312+เลย!N312+ศรีสะเกษ!N312+สกลนคร!N312+สุรินทร์!N312+หนองคาย!N312+หนองบัวลำภู!N312+อำนาจเจริญ!N312+อุดรธานี!N312+อุบลราชธานี!N312</f>
        <v>222551.16</v>
      </c>
      <c r="O312" s="156">
        <f t="shared" ca="1" si="68"/>
        <v>33.456277811184606</v>
      </c>
      <c r="P312" s="156">
        <f t="shared" ca="1" si="69"/>
        <v>44.608370414912805</v>
      </c>
    </row>
    <row r="313" spans="1:16" ht="21.75" customHeight="1" x14ac:dyDescent="0.45">
      <c r="A313" s="158"/>
      <c r="B313" s="159"/>
      <c r="C313" s="159" t="s">
        <v>16</v>
      </c>
      <c r="D313" s="552" t="s">
        <v>20</v>
      </c>
      <c r="E313" s="553"/>
      <c r="F313" s="55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f>กาฬสินธุ์!L313+ขอนแก่น!L313+ชัยภูมิ!L313+นครพนม!L313+นครราชสีมา!L313+บึงกาฬ!L313+บุรีรัมย์!L313+มหาสารคาม!L313+มุกดาหาร!L313+ยโสธร!L313+ร้อยเอ็ด!L313+เลย!L313+ศรีสะเกษ!L313+สกลนคร!L313+สุรินทร์!L313+หนองคาย!L313+หนองบัวลำภู!L313+อำนาจเจริญ!L313+อุดรธานี!L313+อุบลราชธานี!L313</f>
        <v>0</v>
      </c>
      <c r="M313" s="164">
        <f>กาฬสินธุ์!M313+ขอนแก่น!M313+ชัยภูมิ!M313+นครพนม!M313+นครราชสีมา!M313+บึงกาฬ!M313+บุรีรัมย์!M313+มหาสารคาม!M313+มุกดาหาร!M313+ยโสธร!M313+ร้อยเอ็ด!M313+เลย!M313+ศรีสะเกษ!M313+สกลนคร!M313+สุรินทร์!M313+หนองคาย!M313+หนองบัวลำภู!M313+อำนาจเจริญ!M313+อุดรธานี!M313+อุบลราชธานี!M313</f>
        <v>0</v>
      </c>
      <c r="N313" s="164">
        <f>กาฬสินธุ์!N313+ขอนแก่น!N313+ชัยภูมิ!N313+นครพนม!N313+นครราชสีมา!N313+บึงกาฬ!N313+บุรีรัมย์!N313+มหาสารคาม!N313+มุกดาหาร!N313+ยโสธร!N313+ร้อยเอ็ด!N313+เลย!N313+ศรีสะเกษ!N313+สกลนคร!N313+สุรินทร์!N313+หนองคาย!N313+หนองบัวลำภู!N313+อำนาจเจริญ!N313+อุดรธานี!N313+อุบลราชธานี!N313</f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กาฬสินธุ์!L314+ขอนแก่น!L314+ชัยภูมิ!L314+นครพนม!L314+นครราชสีมา!L314+บึงกาฬ!L314+บุรีรัมย์!L314+มหาสารคาม!L314+มุกดาหาร!L314+ยโสธร!L314+ร้อยเอ็ด!L314+เลย!L314+ศรีสะเกษ!L314+สกลนคร!L314+สุรินทร์!L314+หนองคาย!L314+หนองบัวลำภู!L314+อำนาจเจริญ!L314+อุดรธานี!L314+อุบลราชธานี!L314</f>
        <v>665200</v>
      </c>
      <c r="M314" s="168">
        <f ca="1">กาฬสินธุ์!M314+ขอนแก่น!M314+ชัยภูมิ!M314+นครพนม!M314+นครราชสีมา!M314+บึงกาฬ!M314+บุรีรัมย์!M314+มหาสารคาม!M314+มุกดาหาร!M314+ยโสธร!M314+ร้อยเอ็ด!M314+เลย!M314+ศรีสะเกษ!M314+สกลนคร!M314+สุรินทร์!M314+หนองคาย!M314+หนองบัวลำภู!M314+อำนาจเจริญ!M314+อุดรธานี!M314+อุบลราชธานี!M314</f>
        <v>498900</v>
      </c>
      <c r="N314" s="169">
        <f ca="1">กาฬสินธุ์!N314+ขอนแก่น!N314+ชัยภูมิ!N314+นครพนม!N314+นครราชสีมา!N314+บึงกาฬ!N314+บุรีรัมย์!N314+มหาสารคาม!N314+มุกดาหาร!N314+ยโสธร!N314+ร้อยเอ็ด!N314+เลย!N314+ศรีสะเกษ!N314+สกลนคร!N314+สุรินทร์!N314+หนองคาย!N314+หนองบัวลำภู!N314+อำนาจเจริญ!N314+อุดรธานี!N314+อุบลราชธานี!N314</f>
        <v>222551.16</v>
      </c>
      <c r="O314" s="169">
        <f ca="1">IF(L314&gt;0,N314*100/L314,0)</f>
        <v>33.456277811184606</v>
      </c>
      <c r="P314" s="169">
        <f ca="1">IF(M314&gt;0,N314*100/M314,0)</f>
        <v>44.608370414912805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กาฬสินธุ์!L315+ขอนแก่น!L315+ชัยภูมิ!L315+นครพนม!L315+นครราชสีมา!L315+บึงกาฬ!L315+บุรีรัมย์!L315+มหาสารคาม!L315+มุกดาหาร!L315+ยโสธร!L315+ร้อยเอ็ด!L315+เลย!L315+ศรีสะเกษ!L315+สกลนคร!L315+สุรินทร์!L315+หนองคาย!L315+หนองบัวลำภู!L315+อำนาจเจริญ!L315+อุดรธานี!L315+อุบลราชธานี!L315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กาฬสินธุ์!L316+ขอนแก่น!L316+ชัยภูมิ!L316+นครพนม!L316+นครราชสีมา!L316+บึงกาฬ!L316+บุรีรัมย์!L316+มหาสารคาม!L316+มุกดาหาร!L316+ยโสธร!L316+ร้อยเอ็ด!L316+เลย!L316+ศรีสะเกษ!L316+สกลนคร!L316+สุรินทร์!L316+หนองคาย!L316+หนองบัวลำภู!L316+อำนาจเจริญ!L316+อุดรธานี!L316+อุบลราชธานี!L316</f>
        <v>665200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52" t="s">
        <v>23</v>
      </c>
      <c r="E317" s="553"/>
      <c r="F317" s="89"/>
      <c r="G317" s="82" t="s">
        <v>18</v>
      </c>
      <c r="H317" s="172" t="s">
        <v>12</v>
      </c>
      <c r="I317" s="162"/>
      <c r="J317" s="188"/>
      <c r="K317" s="224"/>
      <c r="L317" s="41">
        <f>กาฬสินธุ์!L317+ขอนแก่น!L317+ชัยภูมิ!L317+นครพนม!L317+นครราชสีมา!L317+บึงกาฬ!L317+บุรีรัมย์!L317+มหาสารคาม!L317+มุกดาหาร!L317+ยโสธร!L317+ร้อยเอ็ด!L317+เลย!L317+ศรีสะเกษ!L317+สกลนคร!L317+สุรินทร์!L317+หนองคาย!L317+หนองบัวลำภู!L317+อำนาจเจริญ!L317+อุดรธานี!L317+อุบลราชธานี!L317</f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กาฬสินธุ์!L318+ขอนแก่น!L318+ชัยภูมิ!L318+นครพนม!L318+นครราชสีมา!L318+บึงกาฬ!L318+บุรีรัมย์!L318+มหาสารคาม!L318+มุกดาหาร!L318+ยโสธร!L318+ร้อยเอ็ด!L318+เลย!L318+ศรีสะเกษ!L318+สกลนคร!L318+สุรินทร์!L318+หนองคาย!L318+หนองบัวลำภู!L318+อำนาจเจริญ!L318+อุดรธานี!L318+อุบลราชธานี!L318</f>
        <v>0</v>
      </c>
      <c r="M318" s="49"/>
      <c r="N318" s="49">
        <f ca="1">กาฬสินธุ์!N318+ขอนแก่น!N318+ชัยภูมิ!N318+นครพนม!N318+นครราชสีมา!N318+บึงกาฬ!N318+บุรีรัมย์!N318+มหาสารคาม!N318+มุกดาหาร!N318+ยโสธร!N318+ร้อยเอ็ด!N318+เลย!N318+ศรีสะเกษ!N318+สกลนคร!N318+สุรินทร์!N318+หนองคาย!N318+หนองบัวลำภู!N318+อำนาจเจริญ!N318+อุดรธานี!N318+อุบลราชธานี!N318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กาฬสินธุ์!J320+ขอนแก่น!J320+ชัยภูมิ!J320+นครพนม!J320+นครราชสีมา!J320+บึงกาฬ!J320+บุรีรัมย์!J320+มหาสารคาม!J320+มุกดาหาร!J320+ยโสธร!J320+ร้อยเอ็ด!J320+เลย!J320+ศรีสะเกษ!J320+สกลนคร!J320+สุรินทร์!J320+หนองคาย!J320+หนองบัวลำภู!J320+อำนาจเจริญ!J320+อุดรธานี!J320+อุบลราชธานี!J320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กาฬสินธุ์!J321+ขอนแก่น!J321+ชัยภูมิ!J321+นครพนม!J321+นครราชสีมา!J321+บึงกาฬ!J321+บุรีรัมย์!J321+มหาสารคาม!J321+มุกดาหาร!J321+ยโสธร!J321+ร้อยเอ็ด!J321+เลย!J321+ศรีสะเกษ!J321+สกลนคร!J321+สุรินทร์!J321+หนองคาย!J321+หนองบัวลำภู!J321+อำนาจเจริญ!J321+อุดรธานี!J321+อุบลราชธานี!J321</f>
        <v>2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กาฬสินธุ์!J322+ขอนแก่น!J322+ชัยภูมิ!J322+นครพนม!J322+นครราชสีมา!J322+บึงกาฬ!J322+บุรีรัมย์!J322+มหาสารคาม!J322+มุกดาหาร!J322+ยโสธร!J322+ร้อยเอ็ด!J322+เลย!J322+ศรีสะเกษ!J322+สกลนคร!J322+สุรินทร์!J322+หนองคาย!J322+หนองบัวลำภู!J322+อำนาจเจริญ!J322+อุดรธานี!J322+อุบลราชธานี!J322</f>
        <v>1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กาฬสินธุ์!J323+ขอนแก่น!J323+ชัยภูมิ!J323+นครพนม!J323+นครราชสีมา!J323+บึงกาฬ!J323+บุรีรัมย์!J323+มหาสารคาม!J323+มุกดาหาร!J323+ยโสธร!J323+ร้อยเอ็ด!J323+เลย!J323+ศรีสะเกษ!J323+สกลนคร!J323+สุรินทร์!J323+หนองคาย!J323+หนองบัวลำภู!J323+อำนาจเจริญ!J323+อุดรธานี!J323+อุบลราชธานี!J323</f>
        <v>1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กาฬสินธุ์!I324+ขอนแก่น!I324+ชัยภูมิ!I324+นครพนม!I324+นครราชสีมา!I324+บึงกาฬ!I324+บุรีรัมย์!I324+มหาสารคาม!I324+มุกดาหาร!I324+ยโสธร!I324+ร้อยเอ็ด!I324+เลย!I324+ศรีสะเกษ!I324+สกลนคร!I324+สุรินทร์!I324+หนองคาย!I324+หนองบัวลำภู!I324+อำนาจเจริญ!I324+อุดรธานี!I324+อุบลราชธานี!I324</f>
        <v>3</v>
      </c>
      <c r="J324" s="204">
        <f ca="1">กาฬสินธุ์!J324+ขอนแก่น!J324+ชัยภูมิ!J324+นครพนม!J324+นครราชสีมา!J324+บึงกาฬ!J324+บุรีรัมย์!J324+มหาสารคาม!J324+มุกดาหาร!J324+ยโสธร!J324+ร้อยเอ็ด!J324+เลย!J324+ศรีสะเกษ!J324+สกลนคร!J324+สุรินทร์!J324+หนองคาย!J324+หนองบัวลำภู!J324+อำนาจเจริญ!J324+อุดรธานี!J324+อุบลราชธานี!J324</f>
        <v>2</v>
      </c>
      <c r="K324" s="224">
        <f ca="1">IF(I324&gt;0,J324*100/I324,0)</f>
        <v>66.666666666666671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กาฬสินธุ์!J325+ขอนแก่น!J325+ชัยภูมิ!J325+นครพนม!J325+นครราชสีมา!J325+บึงกาฬ!J325+บุรีรัมย์!J325+มหาสารคาม!J325+มุกดาหาร!J325+ยโสธร!J325+ร้อยเอ็ด!J325+เลย!J325+ศรีสะเกษ!J325+สกลนคร!J325+สุรินทร์!J325+หนองคาย!J325+หนองบัวลำภู!J325+อำนาจเจริญ!J325+อุดรธานี!J325+อุบลราชธานี!J325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กาฬสินธุ์!J326+ขอนแก่น!J326+ชัยภูมิ!J326+นครพนม!J326+นครราชสีมา!J326+บึงกาฬ!J326+บุรีรัมย์!J326+มหาสารคาม!J326+มุกดาหาร!J326+ยโสธร!J326+ร้อยเอ็ด!J326+เลย!J326+ศรีสะเกษ!J326+สกลนคร!J326+สุรินทร์!J326+หนองคาย!J326+หนองบัวลำภู!J326+อำนาจเจริญ!J326+อุดรธานี!J326+อุบลราชธานี!J326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กาฬสินธุ์!I328+ขอนแก่น!I328+ชัยภูมิ!I328+นครพนม!I328+นครราชสีมา!I328+บึงกาฬ!I328+บุรีรัมย์!I328+มหาสารคาม!I328+มุกดาหาร!I328+ยโสธร!I328+ร้อยเอ็ด!I328+เลย!I328+ศรีสะเกษ!I328+สกลนคร!I328+สุรินทร์!I328+หนองคาย!I328+หนองบัวลำภู!I328+อำนาจเจริญ!I328+อุดรธานี!I328+อุบลราชธานี!I328</f>
        <v>11895</v>
      </c>
      <c r="J328" s="339">
        <f ca="1">กาฬสินธุ์!J328+ขอนแก่น!J328+ชัยภูมิ!J328+นครพนม!J328+นครราชสีมา!J328+บึงกาฬ!J328+บุรีรัมย์!J328+มหาสารคาม!J328+มุกดาหาร!J328+ยโสธร!J328+ร้อยเอ็ด!J328+เลย!J328+ศรีสะเกษ!J328+สกลนคร!J328+สุรินทร์!J328+หนองคาย!J328+หนองบัวลำภู!J328+อำนาจเจริญ!J328+อุดรธานี!J328+อุบลราชธานี!J328</f>
        <v>6380</v>
      </c>
      <c r="K328" s="317">
        <f ca="1">IF(I328&gt;0,J328*100/I328,0)</f>
        <v>53.635981504833964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54" t="s">
        <v>17</v>
      </c>
      <c r="E329" s="555"/>
      <c r="F329" s="555"/>
      <c r="G329" s="555"/>
      <c r="H329" s="149" t="s">
        <v>12</v>
      </c>
      <c r="I329" s="162"/>
      <c r="J329" s="162"/>
      <c r="K329" s="163"/>
      <c r="L329" s="152">
        <f ca="1">กาฬสินธุ์!L329+ขอนแก่น!L329+ชัยภูมิ!L329+นครพนม!L329+นครราชสีมา!L329+บึงกาฬ!L329+บุรีรัมย์!L329+มหาสารคาม!L329+มุกดาหาร!L329+ยโสธร!L329+ร้อยเอ็ด!L329+เลย!L329+ศรีสะเกษ!L329+สกลนคร!L329+สุรินทร์!L329+หนองคาย!L329+หนองบัวลำภู!L329+อำนาจเจริญ!L329+อุดรธานี!L329+อุบลราชธานี!L329</f>
        <v>26596460</v>
      </c>
      <c r="M329" s="152">
        <f ca="1">กาฬสินธุ์!M329+ขอนแก่น!M329+ชัยภูมิ!M329+นครพนม!M329+นครราชสีมา!M329+บึงกาฬ!M329+บุรีรัมย์!M329+มหาสารคาม!M329+มุกดาหาร!M329+ยโสธร!M329+ร้อยเอ็ด!M329+เลย!M329+ศรีสะเกษ!M329+สกลนคร!M329+สุรินทร์!M329+หนองคาย!M329+หนองบัวลำภู!M329+อำนาจเจริญ!M329+อุดรธานี!M329+อุบลราชธานี!M329</f>
        <v>19350020</v>
      </c>
      <c r="N329" s="152">
        <f ca="1">กาฬสินธุ์!N329+ขอนแก่น!N329+ชัยภูมิ!N329+นครพนม!N329+นครราชสีมา!N329+บึงกาฬ!N329+บุรีรัมย์!N329+มหาสารคาม!N329+มุกดาหาร!N329+ยโสธร!N329+ร้อยเอ็ด!N329+เลย!N329+ศรีสะเกษ!N329+สกลนคร!N329+สุรินทร์!N329+หนองคาย!N329+หนองบัวลำภู!N329+อำนาจเจริญ!N329+อุดรธานี!N329+อุบลราชธานี!N329</f>
        <v>14158337.74</v>
      </c>
      <c r="O329" s="151">
        <f t="shared" ref="O329:O331" ca="1" si="70">IF(L329&gt;0,N329*100/L329,0)</f>
        <v>53.233918122938164</v>
      </c>
      <c r="P329" s="151">
        <f t="shared" ref="P329:P331" ca="1" si="71">IF(M329&gt;0,N329*100/M329,0)</f>
        <v>73.169628455164386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>กาฬสินธุ์!L330+ขอนแก่น!L330+ชัยภูมิ!L330+นครพนม!L330+นครราชสีมา!L330+บึงกาฬ!L330+บุรีรัมย์!L330+มหาสารคาม!L330+มุกดาหาร!L330+ยโสธร!L330+ร้อยเอ็ด!L330+เลย!L330+ศรีสะเกษ!L330+สกลนคร!L330+สุรินทร์!L330+หนองคาย!L330+หนองบัวลำภู!L330+อำนาจเจริญ!L330+อุดรธานี!L330+อุบลราชธานี!L330</f>
        <v>0</v>
      </c>
      <c r="M330" s="157">
        <f>กาฬสินธุ์!M330+ขอนแก่น!M330+ชัยภูมิ!M330+นครพนม!M330+นครราชสีมา!M330+บึงกาฬ!M330+บุรีรัมย์!M330+มหาสารคาม!M330+มุกดาหาร!M330+ยโสธร!M330+ร้อยเอ็ด!M330+เลย!M330+ศรีสะเกษ!M330+สกลนคร!M330+สุรินทร์!M330+หนองคาย!M330+หนองบัวลำภู!M330+อำนาจเจริญ!M330+อุดรธานี!M330+อุบลราชธานี!M330</f>
        <v>0</v>
      </c>
      <c r="N330" s="157">
        <f>กาฬสินธุ์!N330+ขอนแก่น!N330+ชัยภูมิ!N330+นครพนม!N330+นครราชสีมา!N330+บึงกาฬ!N330+บุรีรัมย์!N330+มหาสารคาม!N330+มุกดาหาร!N330+ยโสธร!N330+ร้อยเอ็ด!N330+เลย!N330+ศรีสะเกษ!N330+สกลนคร!N330+สุรินทร์!N330+หนองคาย!N330+หนองบัวลำภู!N330+อำนาจเจริญ!N330+อุดรธานี!N330+อุบลราชธานี!N330</f>
        <v>0</v>
      </c>
      <c r="O330" s="156">
        <f t="shared" si="70"/>
        <v>0</v>
      </c>
      <c r="P330" s="156">
        <f t="shared" si="71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ca="1">กาฬสินธุ์!L331+ขอนแก่น!L331+ชัยภูมิ!L331+นครพนม!L331+นครราชสีมา!L331+บึงกาฬ!L331+บุรีรัมย์!L331+มหาสารคาม!L331+มุกดาหาร!L331+ยโสธร!L331+ร้อยเอ็ด!L331+เลย!L331+ศรีสะเกษ!L331+สกลนคร!L331+สุรินทร์!L331+หนองคาย!L331+หนองบัวลำภู!L331+อำนาจเจริญ!L331+อุดรธานี!L331+อุบลราชธานี!L331</f>
        <v>26596460</v>
      </c>
      <c r="M331" s="157">
        <f ca="1">กาฬสินธุ์!M331+ขอนแก่น!M331+ชัยภูมิ!M331+นครพนม!M331+นครราชสีมา!M331+บึงกาฬ!M331+บุรีรัมย์!M331+มหาสารคาม!M331+มุกดาหาร!M331+ยโสธร!M331+ร้อยเอ็ด!M331+เลย!M331+ศรีสะเกษ!M331+สกลนคร!M331+สุรินทร์!M331+หนองคาย!M331+หนองบัวลำภู!M331+อำนาจเจริญ!M331+อุดรธานี!M331+อุบลราชธานี!M331</f>
        <v>19350020</v>
      </c>
      <c r="N331" s="157">
        <f ca="1">กาฬสินธุ์!N331+ขอนแก่น!N331+ชัยภูมิ!N331+นครพนม!N331+นครราชสีมา!N331+บึงกาฬ!N331+บุรีรัมย์!N331+มหาสารคาม!N331+มุกดาหาร!N331+ยโสธร!N331+ร้อยเอ็ด!N331+เลย!N331+ศรีสะเกษ!N331+สกลนคร!N331+สุรินทร์!N331+หนองคาย!N331+หนองบัวลำภู!N331+อำนาจเจริญ!N331+อุดรธานี!N331+อุบลราชธานี!N331</f>
        <v>14158337.74</v>
      </c>
      <c r="O331" s="156">
        <f t="shared" ca="1" si="70"/>
        <v>53.233918122938164</v>
      </c>
      <c r="P331" s="156">
        <f t="shared" ca="1" si="71"/>
        <v>73.169628455164386</v>
      </c>
    </row>
    <row r="332" spans="1:16" ht="21.75" customHeight="1" x14ac:dyDescent="0.45">
      <c r="A332" s="158"/>
      <c r="B332" s="159"/>
      <c r="C332" s="159" t="s">
        <v>16</v>
      </c>
      <c r="D332" s="552" t="s">
        <v>20</v>
      </c>
      <c r="E332" s="553"/>
      <c r="F332" s="55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f>กาฬสินธุ์!L332+ขอนแก่น!L332+ชัยภูมิ!L332+นครพนม!L332+นครราชสีมา!L332+บึงกาฬ!L332+บุรีรัมย์!L332+มหาสารคาม!L332+มุกดาหาร!L332+ยโสธร!L332+ร้อยเอ็ด!L332+เลย!L332+ศรีสะเกษ!L332+สกลนคร!L332+สุรินทร์!L332+หนองคาย!L332+หนองบัวลำภู!L332+อำนาจเจริญ!L332+อุดรธานี!L332+อุบลราชธานี!L332</f>
        <v>0</v>
      </c>
      <c r="M332" s="164">
        <f>กาฬสินธุ์!M332+ขอนแก่น!M332+ชัยภูมิ!M332+นครพนม!M332+นครราชสีมา!M332+บึงกาฬ!M332+บุรีรัมย์!M332+มหาสารคาม!M332+มุกดาหาร!M332+ยโสธร!M332+ร้อยเอ็ด!M332+เลย!M332+ศรีสะเกษ!M332+สกลนคร!M332+สุรินทร์!M332+หนองคาย!M332+หนองบัวลำภู!M332+อำนาจเจริญ!M332+อุดรธานี!M332+อุบลราชธานี!M332</f>
        <v>0</v>
      </c>
      <c r="N332" s="164">
        <f>กาฬสินธุ์!N332+ขอนแก่น!N332+ชัยภูมิ!N332+นครพนม!N332+นครราชสีมา!N332+บึงกาฬ!N332+บุรีรัมย์!N332+มหาสารคาม!N332+มุกดาหาร!N332+ยโสธร!N332+ร้อยเอ็ด!N332+เลย!N332+ศรีสะเกษ!N332+สกลนคร!N332+สุรินทร์!N332+หนองคาย!N332+หนองบัวลำภู!N332+อำนาจเจริญ!N332+อุดรธานี!N332+อุบลราชธานี!N332</f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กาฬสินธุ์!L333+ขอนแก่น!L333+ชัยภูมิ!L333+นครพนม!L333+นครราชสีมา!L333+บึงกาฬ!L333+บุรีรัมย์!L333+มหาสารคาม!L333+มุกดาหาร!L333+ยโสธร!L333+ร้อยเอ็ด!L333+เลย!L333+ศรีสะเกษ!L333+สกลนคร!L333+สุรินทร์!L333+หนองคาย!L333+หนองบัวลำภู!L333+อำนาจเจริญ!L333+อุดรธานี!L333+อุบลราชธานี!L333</f>
        <v>25410170</v>
      </c>
      <c r="M333" s="168">
        <f ca="1">กาฬสินธุ์!M333+ขอนแก่น!M333+ชัยภูมิ!M333+นครพนม!M333+นครราชสีมา!M333+บึงกาฬ!M333+บุรีรัมย์!M333+มหาสารคาม!M333+มุกดาหาร!M333+ยโสธร!M333+ร้อยเอ็ด!M333+เลย!M333+ศรีสะเกษ!M333+สกลนคร!M333+สุรินทร์!M333+หนองคาย!M333+หนองบัวลำภู!M333+อำนาจเจริญ!M333+อุดรธานี!M333+อุบลราชธานี!M333</f>
        <v>18163730</v>
      </c>
      <c r="N333" s="169">
        <f ca="1">กาฬสินธุ์!N333+ขอนแก่น!N333+ชัยภูมิ!N333+นครพนม!N333+นครราชสีมา!N333+บึงกาฬ!N333+บุรีรัมย์!N333+มหาสารคาม!N333+มุกดาหาร!N333+ยโสธร!N333+ร้อยเอ็ด!N333+เลย!N333+ศรีสะเกษ!N333+สกลนคร!N333+สุรินทร์!N333+หนองคาย!N333+หนองบัวลำภู!N333+อำนาจเจริญ!N333+อุดรธานี!N333+อุบลราชธานี!N333</f>
        <v>12972047.74</v>
      </c>
      <c r="O333" s="169">
        <f ca="1">IF(L333&gt;0,N333*100/L333,0)</f>
        <v>51.050613750321233</v>
      </c>
      <c r="P333" s="169">
        <f ca="1">IF(M333&gt;0,N333*100/M333,0)</f>
        <v>71.417312082925704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กาฬสินธุ์!L334+ขอนแก่น!L334+ชัยภูมิ!L334+นครพนม!L334+นครราชสีมา!L334+บึงกาฬ!L334+บุรีรัมย์!L334+มหาสารคาม!L334+มุกดาหาร!L334+ยโสธร!L334+ร้อยเอ็ด!L334+เลย!L334+ศรีสะเกษ!L334+สกลนคร!L334+สุรินทร์!L334+หนองคาย!L334+หนองบัวลำภู!L334+อำนาจเจริญ!L334+อุดรธานี!L334+อุบลราชธานี!L334</f>
        <v>8741500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กาฬสินธุ์!L335+ขอนแก่น!L335+ชัยภูมิ!L335+นครพนม!L335+นครราชสีมา!L335+บึงกาฬ!L335+บุรีรัมย์!L335+มหาสารคาม!L335+มุกดาหาร!L335+ยโสธร!L335+ร้อยเอ็ด!L335+เลย!L335+ศรีสะเกษ!L335+สกลนคร!L335+สุรินทร์!L335+หนองคาย!L335+หนองบัวลำภู!L335+อำนาจเจริญ!L335+อุดรธานี!L335+อุบลราชธานี!L335</f>
        <v>16668670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52" t="s">
        <v>23</v>
      </c>
      <c r="E336" s="553"/>
      <c r="F336" s="89"/>
      <c r="G336" s="82" t="s">
        <v>18</v>
      </c>
      <c r="H336" s="172" t="s">
        <v>12</v>
      </c>
      <c r="I336" s="162"/>
      <c r="J336" s="162"/>
      <c r="K336" s="163"/>
      <c r="L336" s="41">
        <f>กาฬสินธุ์!L336+ขอนแก่น!L336+ชัยภูมิ!L336+นครพนม!L336+นครราชสีมา!L336+บึงกาฬ!L336+บุรีรัมย์!L336+มหาสารคาม!L336+มุกดาหาร!L336+ยโสธร!L336+ร้อยเอ็ด!L336+เลย!L336+ศรีสะเกษ!L336+สกลนคร!L336+สุรินทร์!L336+หนองคาย!L336+หนองบัวลำภู!L336+อำนาจเจริญ!L336+อุดรธานี!L336+อุบลราชธานี!L336</f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กาฬสินธุ์!L337+ขอนแก่น!L337+ชัยภูมิ!L337+นครพนม!L337+นครราชสีมา!L337+บึงกาฬ!L337+บุรีรัมย์!L337+มหาสารคาม!L337+มุกดาหาร!L337+ยโสธร!L337+ร้อยเอ็ด!L337+เลย!L337+ศรีสะเกษ!L337+สกลนคร!L337+สุรินทร์!L337+หนองคาย!L337+หนองบัวลำภู!L337+อำนาจเจริญ!L337+อุดรธานี!L337+อุบลราชธานี!L337</f>
        <v>1186290</v>
      </c>
      <c r="M337" s="49">
        <f ca="1">กาฬสินธุ์!M337+ขอนแก่น!M337+ชัยภูมิ!M337+นครพนม!M337+นครราชสีมา!M337+บึงกาฬ!M337+บุรีรัมย์!M337+มหาสารคาม!M337+มุกดาหาร!M337+ยโสธร!M337+ร้อยเอ็ด!M337+เลย!M337+ศรีสะเกษ!M337+สกลนคร!M337+สุรินทร์!M337+หนองคาย!M337+หนองบัวลำภู!M337+อำนาจเจริญ!M337+อุดรธานี!M337+อุบลราชธานี!M337</f>
        <v>1186290</v>
      </c>
      <c r="N337" s="49">
        <f ca="1">กาฬสินธุ์!N337+ขอนแก่น!N337+ชัยภูมิ!N337+นครพนม!N337+นครราชสีมา!N337+บึงกาฬ!N337+บุรีรัมย์!N337+มหาสารคาม!N337+มุกดาหาร!N337+ยโสธร!N337+ร้อยเอ็ด!N337+เลย!N337+ศรีสะเกษ!N337+สกลนคร!N337+สุรินทร์!N337+หนองคาย!N337+หนองบัวลำภู!N337+อำนาจเจริญ!N337+อุดรธานี!N337+อุบลราชธานี!N337</f>
        <v>1186290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กาฬสินธุ์!I339+ขอนแก่น!I339+ชัยภูมิ!I339+นครพนม!I339+นครราชสีมา!I339+บึงกาฬ!I339+บุรีรัมย์!I339+มหาสารคาม!I339+มุกดาหาร!I339+ยโสธร!I339+ร้อยเอ็ด!I339+เลย!I339+ศรีสะเกษ!I339+สกลนคร!I339+สุรินทร์!I339+หนองคาย!I339+หนองบัวลำภู!I339+อำนาจเจริญ!I339+อุดรธานี!I339+อุบลราชธานี!I339</f>
        <v>0</v>
      </c>
      <c r="J339" s="188">
        <f ca="1">กาฬสินธุ์!J339+ขอนแก่น!J339+ชัยภูมิ!J339+นครพนม!J339+นครราชสีมา!J339+บึงกาฬ!J339+บุรีรัมย์!J339+มหาสารคาม!J339+มุกดาหาร!J339+ยโสธร!J339+ร้อยเอ็ด!J339+เลย!J339+ศรีสะเกษ!J339+สกลนคร!J339+สุรินทร์!J339+หนองคาย!J339+หนองบัวลำภู!J339+อำนาจเจริญ!J339+อุดรธานี!J339+อุบลราชธานี!J339</f>
        <v>7566</v>
      </c>
      <c r="K339" s="342">
        <f t="shared" ref="K339:K346" ca="1" si="72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กาฬสินธุ์!I340+ขอนแก่น!I340+ชัยภูมิ!I340+นครพนม!I340+นครราชสีมา!I340+บึงกาฬ!I340+บุรีรัมย์!I340+มหาสารคาม!I340+มุกดาหาร!I340+ยโสธร!I340+ร้อยเอ็ด!I340+เลย!I340+ศรีสะเกษ!I340+สกลนคร!I340+สุรินทร์!I340+หนองคาย!I340+หนองบัวลำภู!I340+อำนาจเจริญ!I340+อุดรธานี!I340+อุบลราชธานี!I340</f>
        <v>109666</v>
      </c>
      <c r="J340" s="188">
        <f ca="1">กาฬสินธุ์!J340+ขอนแก่น!J340+ชัยภูมิ!J340+นครพนม!J340+นครราชสีมา!J340+บึงกาฬ!J340+บุรีรัมย์!J340+มหาสารคาม!J340+มุกดาหาร!J340+ยโสธร!J340+ร้อยเอ็ด!J340+เลย!J340+ศรีสะเกษ!J340+สกลนคร!J340+สุรินทร์!J340+หนองคาย!J340+หนองบัวลำภู!J340+อำนาจเจริญ!J340+อุดรธานี!J340+อุบลราชธานี!J340</f>
        <v>63551.699999999953</v>
      </c>
      <c r="K340" s="342">
        <f t="shared" ca="1" si="72"/>
        <v>57.950230700490536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กาฬสินธุ์!I341+ขอนแก่น!I341+ชัยภูมิ!I341+นครพนม!I341+นครราชสีมา!I341+บึงกาฬ!I341+บุรีรัมย์!I341+มหาสารคาม!I341+มุกดาหาร!I341+ยโสธร!I341+ร้อยเอ็ด!I341+เลย!I341+ศรีสะเกษ!I341+สกลนคร!I341+สุรินทร์!I341+หนองคาย!I341+หนองบัวลำภู!I341+อำนาจเจริญ!I341+อุดรธานี!I341+อุบลราชธานี!I341</f>
        <v>11895</v>
      </c>
      <c r="J341" s="188">
        <f ca="1">กาฬสินธุ์!J341+ขอนแก่น!J341+ชัยภูมิ!J341+นครพนม!J341+นครราชสีมา!J341+บึงกาฬ!J341+บุรีรัมย์!J341+มหาสารคาม!J341+มุกดาหาร!J341+ยโสธร!J341+ร้อยเอ็ด!J341+เลย!J341+ศรีสะเกษ!J341+สกลนคร!J341+สุรินทร์!J341+หนองคาย!J341+หนองบัวลำภู!J341+อำนาจเจริญ!J341+อุดรธานี!J341+อุบลราชธานี!J341</f>
        <v>9843</v>
      </c>
      <c r="K341" s="342">
        <f t="shared" ca="1" si="72"/>
        <v>82.749054224464061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กาฬสินธุ์!I342+ขอนแก่น!I342+ชัยภูมิ!I342+นครพนม!I342+นครราชสีมา!I342+บึงกาฬ!I342+บุรีรัมย์!I342+มหาสารคาม!I342+มุกดาหาร!I342+ยโสธร!I342+ร้อยเอ็ด!I342+เลย!I342+ศรีสะเกษ!I342+สกลนคร!I342+สุรินทร์!I342+หนองคาย!I342+หนองบัวลำภู!I342+อำนาจเจริญ!I342+อุดรธานี!I342+อุบลราชธานี!I342</f>
        <v>0</v>
      </c>
      <c r="J342" s="188">
        <f ca="1">กาฬสินธุ์!J342+ขอนแก่น!J342+ชัยภูมิ!J342+นครพนม!J342+นครราชสีมา!J342+บึงกาฬ!J342+บุรีรัมย์!J342+มหาสารคาม!J342+มุกดาหาร!J342+ยโสธร!J342+ร้อยเอ็ด!J342+เลย!J342+ศรีสะเกษ!J342+สกลนคร!J342+สุรินทร์!J342+หนองคาย!J342+หนองบัวลำภู!J342+อำนาจเจริญ!J342+อุดรธานี!J342+อุบลราชธานี!J342</f>
        <v>106711.75999999998</v>
      </c>
      <c r="K342" s="342">
        <f t="shared" ca="1" si="72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กาฬสินธุ์!I343+ขอนแก่น!I343+ชัยภูมิ!I343+นครพนม!I343+นครราชสีมา!I343+บึงกาฬ!I343+บุรีรัมย์!I343+มหาสารคาม!I343+มุกดาหาร!I343+ยโสธร!I343+ร้อยเอ็ด!I343+เลย!I343+ศรีสะเกษ!I343+สกลนคร!I343+สุรินทร์!I343+หนองคาย!I343+หนองบัวลำภู!I343+อำนาจเจริญ!I343+อุดรธานี!I343+อุบลราชธานี!I343</f>
        <v>11895</v>
      </c>
      <c r="J343" s="188">
        <f ca="1">กาฬสินธุ์!J343+ขอนแก่น!J343+ชัยภูมิ!J343+นครพนม!J343+นครราชสีมา!J343+บึงกาฬ!J343+บุรีรัมย์!J343+มหาสารคาม!J343+มุกดาหาร!J343+ยโสธร!J343+ร้อยเอ็ด!J343+เลย!J343+ศรีสะเกษ!J343+สกลนคร!J343+สุรินทร์!J343+หนองคาย!J343+หนองบัวลำภู!J343+อำนาจเจริญ!J343+อุดรธานี!J343+อุบลราชธานี!J343</f>
        <v>993</v>
      </c>
      <c r="K343" s="342">
        <f t="shared" ca="1" si="72"/>
        <v>8.3480453972257251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กาฬสินธุ์!I344+ขอนแก่น!I344+ชัยภูมิ!I344+นครพนม!I344+นครราชสีมา!I344+บึงกาฬ!I344+บุรีรัมย์!I344+มหาสารคาม!I344+มุกดาหาร!I344+ยโสธร!I344+ร้อยเอ็ด!I344+เลย!I344+ศรีสะเกษ!I344+สกลนคร!I344+สุรินทร์!I344+หนองคาย!I344+หนองบัวลำภู!I344+อำนาจเจริญ!I344+อุดรธานี!I344+อุบลราชธานี!I344</f>
        <v>0</v>
      </c>
      <c r="J344" s="188">
        <f ca="1">กาฬสินธุ์!J344+ขอนแก่น!J344+ชัยภูมิ!J344+นครพนม!J344+นครราชสีมา!J344+บึงกาฬ!J344+บุรีรัมย์!J344+มหาสารคาม!J344+มุกดาหาร!J344+ยโสธร!J344+ร้อยเอ็ด!J344+เลย!J344+ศรีสะเกษ!J344+สกลนคร!J344+สุรินทร์!J344+หนองคาย!J344+หนองบัวลำภู!J344+อำนาจเจริญ!J344+อุดรธานี!J344+อุบลราชธานี!J344</f>
        <v>10210.67</v>
      </c>
      <c r="K344" s="342">
        <f t="shared" ca="1" si="72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กาฬสินธุ์!I345+ขอนแก่น!I345+ชัยภูมิ!I345+นครพนม!I345+นครราชสีมา!I345+บึงกาฬ!I345+บุรีรัมย์!I345+มหาสารคาม!I345+มุกดาหาร!I345+ยโสธร!I345+ร้อยเอ็ด!I345+เลย!I345+ศรีสะเกษ!I345+สกลนคร!I345+สุรินทร์!I345+หนองคาย!I345+หนองบัวลำภู!I345+อำนาจเจริญ!I345+อุดรธานี!I345+อุบลราชธานี!I345</f>
        <v>11895</v>
      </c>
      <c r="J345" s="188">
        <f ca="1">กาฬสินธุ์!J345+ขอนแก่น!J345+ชัยภูมิ!J345+นครพนม!J345+นครราชสีมา!J345+บึงกาฬ!J345+บุรีรัมย์!J345+มหาสารคาม!J345+มุกดาหาร!J345+ยโสธร!J345+ร้อยเอ็ด!J345+เลย!J345+ศรีสะเกษ!J345+สกลนคร!J345+สุรินทร์!J345+หนองคาย!J345+หนองบัวลำภู!J345+อำนาจเจริญ!J345+อุดรธานี!J345+อุบลราชธานี!J345</f>
        <v>6380</v>
      </c>
      <c r="K345" s="342">
        <f t="shared" ca="1" si="72"/>
        <v>53.635981504833964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กาฬสินธุ์!I346+ขอนแก่น!I346+ชัยภูมิ!I346+นครพนม!I346+นครราชสีมา!I346+บึงกาฬ!I346+บุรีรัมย์!I346+มหาสารคาม!I346+มุกดาหาร!I346+ยโสธร!I346+ร้อยเอ็ด!I346+เลย!I346+ศรีสะเกษ!I346+สกลนคร!I346+สุรินทร์!I346+หนองคาย!I346+หนองบัวลำภู!I346+อำนาจเจริญ!I346+อุดรธานี!I346+อุบลราชธานี!I346</f>
        <v>0</v>
      </c>
      <c r="J346" s="188">
        <f ca="1">กาฬสินธุ์!J346+ขอนแก่น!J346+ชัยภูมิ!J346+นครพนม!J346+นครราชสีมา!J346+บึงกาฬ!J346+บุรีรัมย์!J346+มหาสารคาม!J346+มุกดาหาร!J346+ยโสธร!J346+ร้อยเอ็ด!J346+เลย!J346+ศรีสะเกษ!J346+สกลนคร!J346+สุรินทร์!J346+หนองคาย!J346+หนองบัวลำภู!J346+อำนาจเจริญ!J346+อุดรธานี!J346+อุบลราชธานี!J346</f>
        <v>68631.979999999981</v>
      </c>
      <c r="K346" s="351">
        <f t="shared" ca="1" si="72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กาฬสินธุ์!L347+ขอนแก่น!L347+ชัยภูมิ!L347+นครพนม!L347+นครราชสีมา!L347+บึงกาฬ!L347+บุรีรัมย์!L347+มหาสารคาม!L347+มุกดาหาร!L347+ยโสธร!L347+ร้อยเอ็ด!L347+เลย!L347+ศรีสะเกษ!L347+สกลนคร!L347+สุรินทร์!L347+หนองคาย!L347+หนองบัวลำภู!L347+อำนาจเจริญ!L347+อุดรธานี!L347+อุบลราชธานี!L347</f>
        <v>56031183</v>
      </c>
      <c r="M347" s="358"/>
      <c r="N347" s="358">
        <f ca="1">กาฬสินธุ์!N347+ขอนแก่น!N347+ชัยภูมิ!N347+นครพนม!N347+นครราชสีมา!N347+บึงกาฬ!N347+บุรีรัมย์!N347+มหาสารคาม!N347+มุกดาหาร!N347+ยโสธร!N347+ร้อยเอ็ด!N347+เลย!N347+ศรีสะเกษ!N347+สกลนคร!N347+สุรินทร์!N347+หนองคาย!N347+หนองบัวลำภู!N347+อำนาจเจริญ!N347+อุดรธานี!N347+อุบลราชธานี!N347</f>
        <v>19129834.36999999</v>
      </c>
      <c r="O347" s="358">
        <f ca="1">+IF(L347&gt;0,N347*100/L347,0)</f>
        <v>34.141407241035743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กาฬสินธุ์!I349+ขอนแก่น!I349+ชัยภูมิ!I349+นครพนม!I349+นครราชสีมา!I349+บึงกาฬ!I349+บุรีรัมย์!I349+มหาสารคาม!I349+มุกดาหาร!I349+ยโสธร!I349+ร้อยเอ็ด!I349+เลย!I349+ศรีสะเกษ!I349+สกลนคร!I349+สุรินทร์!I349+หนองคาย!I349+หนองบัวลำภู!I349+อำนาจเจริญ!I349+อุดรธานี!I349+อุบลราชธานี!I349</f>
        <v>5203</v>
      </c>
      <c r="J349" s="371">
        <f ca="1">กาฬสินธุ์!J349+ขอนแก่น!J349+ชัยภูมิ!J349+นครพนม!J349+นครราชสีมา!J349+บึงกาฬ!J349+บุรีรัมย์!J349+มหาสารคาม!J349+มุกดาหาร!J349+ยโสธร!J349+ร้อยเอ็ด!J349+เลย!J349+ศรีสะเกษ!J349+สกลนคร!J349+สุรินทร์!J349+หนองคาย!J349+หนองบัวลำภู!J349+อำนาจเจริญ!J349+อุดรธานี!J349+อุบลราชธานี!J349</f>
        <v>1176</v>
      </c>
      <c r="K349" s="372">
        <f t="shared" ref="K349:K350" ca="1" si="73">IF(I349&gt;0,J349*100/I349,0)</f>
        <v>22.602344801076303</v>
      </c>
      <c r="L349" s="373">
        <f ca="1">กาฬสินธุ์!L349+ขอนแก่น!L349+ชัยภูมิ!L349+นครพนม!L349+นครราชสีมา!L349+บึงกาฬ!L349+บุรีรัมย์!L349+มหาสารคาม!L349+มุกดาหาร!L349+ยโสธร!L349+ร้อยเอ็ด!L349+เลย!L349+ศรีสะเกษ!L349+สกลนคร!L349+สุรินทร์!L349+หนองคาย!L349+หนองบัวลำภู!L349+อำนาจเจริญ!L349+อุดรธานี!L349+อุบลราชธานี!L349</f>
        <v>9976370</v>
      </c>
      <c r="M349" s="373"/>
      <c r="N349" s="373">
        <f ca="1">กาฬสินธุ์!N349+ขอนแก่น!N349+ชัยภูมิ!N349+นครพนม!N349+นครราชสีมา!N349+บึงกาฬ!N349+บุรีรัมย์!N349+มหาสารคาม!N349+มุกดาหาร!N349+ยโสธร!N349+ร้อยเอ็ด!N349+เลย!N349+ศรีสะเกษ!N349+สกลนคร!N349+สุรินทร์!N349+หนองคาย!N349+หนองบัวลำภู!N349+อำนาจเจริญ!N349+อุดรธานี!N349+อุบลราชธานี!N349</f>
        <v>3726842.7799999993</v>
      </c>
      <c r="O349" s="373">
        <f ca="1">+IF(L349&gt;0,N349*100/L349,0)</f>
        <v>37.356701686084214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กาฬสินธุ์!I350+ขอนแก่น!I350+ชัยภูมิ!I350+นครพนม!I350+นครราชสีมา!I350+บึงกาฬ!I350+บุรีรัมย์!I350+มหาสารคาม!I350+มุกดาหาร!I350+ยโสธร!I350+ร้อยเอ็ด!I350+เลย!I350+ศรีสะเกษ!I350+สกลนคร!I350+สุรินทร์!I350+หนองคาย!I350+หนองบัวลำภู!I350+อำนาจเจริญ!I350+อุดรธานี!I350+อุบลราชธานี!I350</f>
        <v>1466</v>
      </c>
      <c r="J350" s="371">
        <f ca="1">กาฬสินธุ์!J350+ขอนแก่น!J350+ชัยภูมิ!J350+นครพนม!J350+นครราชสีมา!J350+บึงกาฬ!J350+บุรีรัมย์!J350+มหาสารคาม!J350+มุกดาหาร!J350+ยโสธร!J350+ร้อยเอ็ด!J350+เลย!J350+ศรีสะเกษ!J350+สกลนคร!J350+สุรินทร์!J350+หนองคาย!J350+หนองบัวลำภู!J350+อำนาจเจริญ!J350+อุดรธานี!J350+อุบลราชธานี!J350</f>
        <v>1305</v>
      </c>
      <c r="K350" s="372">
        <f t="shared" ca="1" si="73"/>
        <v>89.017735334242843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กาฬสินธุ์!L351+ขอนแก่น!L351+ชัยภูมิ!L351+นครพนม!L351+นครราชสีมา!L351+บึงกาฬ!L351+บุรีรัมย์!L351+มหาสารคาม!L351+มุกดาหาร!L351+ยโสธร!L351+ร้อยเอ็ด!L351+เลย!L351+ศรีสะเกษ!L351+สกลนคร!L351+สุรินทร์!L351+หนองคาย!L351+หนองบัวลำภู!L351+อำนาจเจริญ!L351+อุดรธานี!L351+อุบลราชธานี!L351</f>
        <v>0</v>
      </c>
      <c r="M351" s="164"/>
      <c r="N351" s="164">
        <f ca="1">กาฬสินธุ์!N351+ขอนแก่น!N351+ชัยภูมิ!N351+นครพนม!N351+นครราชสีมา!N351+บึงกาฬ!N351+บุรีรัมย์!N351+มหาสารคาม!N351+มุกดาหาร!N351+ยโสธร!N351+ร้อยเอ็ด!N351+เลย!N351+ศรีสะเกษ!N351+สกลนคร!N351+สุรินทร์!N351+หนองคาย!N351+หนองบัวลำภู!N351+อำนาจเจริญ!N351+อุดรธานี!N351+อุบลราชธานี!N351</f>
        <v>0</v>
      </c>
      <c r="O351" s="165">
        <f t="shared" ref="O351:O354" ca="1" si="74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กาฬสินธุ์!L352+ขอนแก่น!L352+ชัยภูมิ!L352+นครพนม!L352+นครราชสีมา!L352+บึงกาฬ!L352+บุรีรัมย์!L352+มหาสารคาม!L352+มุกดาหาร!L352+ยโสธร!L352+ร้อยเอ็ด!L352+เลย!L352+ศรีสะเกษ!L352+สกลนคร!L352+สุรินทร์!L352+หนองคาย!L352+หนองบัวลำภู!L352+อำนาจเจริญ!L352+อุดรธานี!L352+อุบลราชธานี!L352</f>
        <v>9976370</v>
      </c>
      <c r="M352" s="165"/>
      <c r="N352" s="164">
        <f ca="1">กาฬสินธุ์!N352+ขอนแก่น!N352+ชัยภูมิ!N352+นครพนม!N352+นครราชสีมา!N352+บึงกาฬ!N352+บุรีรัมย์!N352+มหาสารคาม!N352+มุกดาหาร!N352+ยโสธร!N352+ร้อยเอ็ด!N352+เลย!N352+ศรีสะเกษ!N352+สกลนคร!N352+สุรินทร์!N352+หนองคาย!N352+หนองบัวลำภู!N352+อำนาจเจริญ!N352+อุดรธานี!N352+อุบลราชธานี!N352</f>
        <v>3726842.7799999993</v>
      </c>
      <c r="O352" s="165">
        <f t="shared" ca="1" si="74"/>
        <v>37.356701686084214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กาฬสินธุ์!L353+ขอนแก่น!L353+ชัยภูมิ!L353+นครพนม!L353+นครราชสีมา!L353+บึงกาฬ!L353+บุรีรัมย์!L353+มหาสารคาม!L353+มุกดาหาร!L353+ยโสธร!L353+ร้อยเอ็ด!L353+เลย!L353+ศรีสะเกษ!L353+สกลนคร!L353+สุรินทร์!L353+หนองคาย!L353+หนองบัวลำภู!L353+อำนาจเจริญ!L353+อุดรธานี!L353+อุบลราชธานี!L353</f>
        <v>0</v>
      </c>
      <c r="M353" s="169"/>
      <c r="N353" s="169">
        <f ca="1">กาฬสินธุ์!N353+ขอนแก่น!N353+ชัยภูมิ!N353+นครพนม!N353+นครราชสีมา!N353+บึงกาฬ!N353+บุรีรัมย์!N353+มหาสารคาม!N353+มุกดาหาร!N353+ยโสธร!N353+ร้อยเอ็ด!N353+เลย!N353+ศรีสะเกษ!N353+สกลนคร!N353+สุรินทร์!N353+หนองคาย!N353+หนองบัวลำภู!N353+อำนาจเจริญ!N353+อุดรธานี!N353+อุบลราชธานี!N353</f>
        <v>0</v>
      </c>
      <c r="O353" s="169">
        <f t="shared" ca="1" si="74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กาฬสินธุ์!L354+ขอนแก่น!L354+ชัยภูมิ!L354+นครพนม!L354+นครราชสีมา!L354+บึงกาฬ!L354+บุรีรัมย์!L354+มหาสารคาม!L354+มุกดาหาร!L354+ยโสธร!L354+ร้อยเอ็ด!L354+เลย!L354+ศรีสะเกษ!L354+สกลนคร!L354+สุรินทร์!L354+หนองคาย!L354+หนองบัวลำภู!L354+อำนาจเจริญ!L354+อุดรธานี!L354+อุบลราชธานี!L354</f>
        <v>9976370</v>
      </c>
      <c r="M354" s="169"/>
      <c r="N354" s="168">
        <f ca="1">กาฬสินธุ์!N354+ขอนแก่น!N354+ชัยภูมิ!N354+นครพนม!N354+นครราชสีมา!N354+บึงกาฬ!N354+บุรีรัมย์!N354+มหาสารคาม!N354+มุกดาหาร!N354+ยโสธร!N354+ร้อยเอ็ด!N354+เลย!N354+ศรีสะเกษ!N354+สกลนคร!N354+สุรินทร์!N354+หนองคาย!N354+หนองบัวลำภู!N354+อำนาจเจริญ!N354+อุดรธานี!N354+อุบลราชธานี!N354</f>
        <v>3726842.7799999993</v>
      </c>
      <c r="O354" s="169">
        <f t="shared" ca="1" si="74"/>
        <v>37.356701686084214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กาฬสินธุ์!N355+ขอนแก่น!N355+ชัยภูมิ!N355+นครพนม!N355+นครราชสีมา!N355+บึงกาฬ!N355+บุรีรัมย์!N355+มหาสารคาม!N355+มุกดาหาร!N355+ยโสธร!N355+ร้อยเอ็ด!N355+เลย!N355+ศรีสะเกษ!N355+สกลนคร!N355+สุรินทร์!N355+หนองคาย!N355+หนองบัวลำภู!N355+อำนาจเจริญ!N355+อุดรธานี!N355+อุบลราชธานี!N355</f>
        <v>1185251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กาฬสินธุ์!N356+ขอนแก่น!N356+ชัยภูมิ!N356+นครพนม!N356+นครราชสีมา!N356+บึงกาฬ!N356+บุรีรัมย์!N356+มหาสารคาม!N356+มุกดาหาร!N356+ยโสธร!N356+ร้อยเอ็ด!N356+เลย!N356+ศรีสะเกษ!N356+สกลนคร!N356+สุรินทร์!N356+หนองคาย!N356+หนองบัวลำภู!N356+อำนาจเจริญ!N356+อุดรธานี!N356+อุบลราชธานี!N356</f>
        <v>1166681.26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กาฬสินธุ์!N357+ขอนแก่น!N357+ชัยภูมิ!N357+นครพนม!N357+นครราชสีมา!N357+บึงกาฬ!N357+บุรีรัมย์!N357+มหาสารคาม!N357+มุกดาหาร!N357+ยโสธร!N357+ร้อยเอ็ด!N357+เลย!N357+ศรีสะเกษ!N357+สกลนคร!N357+สุรินทร์!N357+หนองคาย!N357+หนองบัวลำภู!N357+อำนาจเจริญ!N357+อุดรธานี!N357+อุบลราชธานี!N357</f>
        <v>1043595.3099999999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กาฬสินธุ์!N358+ขอนแก่น!N358+ชัยภูมิ!N358+นครพนม!N358+นครราชสีมา!N358+บึงกาฬ!N358+บุรีรัมย์!N358+มหาสารคาม!N358+มุกดาหาร!N358+ยโสธร!N358+ร้อยเอ็ด!N358+เลย!N358+ศรีสะเกษ!N358+สกลนคร!N358+สุรินทร์!N358+หนองคาย!N358+หนองบัวลำภู!N358+อำนาจเจริญ!N358+อุดรธานี!N358+อุบลราชธานี!N358</f>
        <v>331315.20999999996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กาฬสินธุ์!J360+ขอนแก่น!J360+ชัยภูมิ!J360+นครพนม!J360+นครราชสีมา!J360+บึงกาฬ!J360+บุรีรัมย์!J360+มหาสารคาม!J360+มุกดาหาร!J360+ยโสธร!J360+ร้อยเอ็ด!J360+เลย!J360+ศรีสะเกษ!J360+สกลนคร!J360+สุรินทร์!J360+หนองคาย!J360+หนองบัวลำภู!J360+อำนาจเจริญ!J360+อุดรธานี!J360+อุบลราชธานี!J360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กาฬสินธุ์!J361+ขอนแก่น!J361+ชัยภูมิ!J361+นครพนม!J361+นครราชสีมา!J361+บึงกาฬ!J361+บุรีรัมย์!J361+มหาสารคาม!J361+มุกดาหาร!J361+ยโสธร!J361+ร้อยเอ็ด!J361+เลย!J361+ศรีสะเกษ!J361+สกลนคร!J361+สุรินทร์!J361+หนองคาย!J361+หนองบัวลำภู!J361+อำนาจเจริญ!J361+อุดรธานี!J361+อุบลราชธานี!J361</f>
        <v>18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กาฬสินธุ์!J362+ขอนแก่น!J362+ชัยภูมิ!J362+นครพนม!J362+นครราชสีมา!J362+บึงกาฬ!J362+บุรีรัมย์!J362+มหาสารคาม!J362+มุกดาหาร!J362+ยโสธร!J362+ร้อยเอ็ด!J362+เลย!J362+ศรีสะเกษ!J362+สกลนคร!J362+สุรินทร์!J362+หนองคาย!J362+หนองบัวลำภู!J362+อำนาจเจริญ!J362+อุดรธานี!J362+อุบลราชธานี!J362</f>
        <v>17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กาฬสินธุ์!J363+ขอนแก่น!J363+ชัยภูมิ!J363+นครพนม!J363+นครราชสีมา!J363+บึงกาฬ!J363+บุรีรัมย์!J363+มหาสารคาม!J363+มุกดาหาร!J363+ยโสธร!J363+ร้อยเอ็ด!J363+เลย!J363+ศรีสะเกษ!J363+สกลนคร!J363+สุรินทร์!J363+หนองคาย!J363+หนองบัวลำภู!J363+อำนาจเจริญ!J363+อุดรธานี!J363+อุบลราชธานี!J363</f>
        <v>12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กาฬสินธุ์!J364+ขอนแก่น!J364+ชัยภูมิ!J364+นครพนม!J364+นครราชสีมา!J364+บึงกาฬ!J364+บุรีรัมย์!J364+มหาสารคาม!J364+มุกดาหาร!J364+ยโสธร!J364+ร้อยเอ็ด!J364+เลย!J364+ศรีสะเกษ!J364+สกลนคร!J364+สุรินทร์!J364+หนองคาย!J364+หนองบัวลำภู!J364+อำนาจเจริญ!J364+อุดรธานี!J364+อุบลราชธานี!J364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กาฬสินธุ์!J365+ขอนแก่น!J365+ชัยภูมิ!J365+นครพนม!J365+นครราชสีมา!J365+บึงกาฬ!J365+บุรีรัมย์!J365+มหาสารคาม!J365+มุกดาหาร!J365+ยโสธร!J365+ร้อยเอ็ด!J365+เลย!J365+ศรีสะเกษ!J365+สกลนคร!J365+สุรินทร์!J365+หนองคาย!J365+หนองบัวลำภู!J365+อำนาจเจริญ!J365+อุดรธานี!J365+อุบลราชธานี!J365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กาฬสินธุ์!J366+ขอนแก่น!J366+ชัยภูมิ!J366+นครพนม!J366+นครราชสีมา!J366+บึงกาฬ!J366+บุรีรัมย์!J366+มหาสารคาม!J366+มุกดาหาร!J366+ยโสธร!J366+ร้อยเอ็ด!J366+เลย!J366+ศรีสะเกษ!J366+สกลนคร!J366+สุรินทร์!J366+หนองคาย!J366+หนองบัวลำภู!J366+อำนาจเจริญ!J366+อุดรธานี!J366+อุบลราชธานี!J366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กาฬสินธุ์!J367+ขอนแก่น!J367+ชัยภูมิ!J367+นครพนม!J367+นครราชสีมา!J367+บึงกาฬ!J367+บุรีรัมย์!J367+มหาสารคาม!J367+มุกดาหาร!J367+ยโสธร!J367+ร้อยเอ็ด!J367+เลย!J367+ศรีสะเกษ!J367+สกลนคร!J367+สุรินทร์!J367+หนองคาย!J367+หนองบัวลำภู!J367+อำนาจเจริญ!J367+อุดรธานี!J367+อุบลราชธานี!J367</f>
        <v>0</v>
      </c>
      <c r="K367" s="163">
        <f t="shared" ref="K367:K373" ca="1" si="75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กาฬสินธุ์!I368+ขอนแก่น!I368+ชัยภูมิ!I368+นครพนม!I368+นครราชสีมา!I368+บึงกาฬ!I368+บุรีรัมย์!I368+มหาสารคาม!I368+มุกดาหาร!I368+ยโสธร!I368+ร้อยเอ็ด!I368+เลย!I368+ศรีสะเกษ!I368+สกลนคร!I368+สุรินทร์!I368+หนองคาย!I368+หนองบัวลำภู!I368+อำนาจเจริญ!I368+อุดรธานี!I368+อุบลราชธานี!I368</f>
        <v>1466</v>
      </c>
      <c r="J368" s="188">
        <f ca="1">กาฬสินธุ์!J368+ขอนแก่น!J368+ชัยภูมิ!J368+นครพนม!J368+นครราชสีมา!J368+บึงกาฬ!J368+บุรีรัมย์!J368+มหาสารคาม!J368+มุกดาหาร!J368+ยโสธร!J368+ร้อยเอ็ด!J368+เลย!J368+ศรีสะเกษ!J368+สกลนคร!J368+สุรินทร์!J368+หนองคาย!J368+หนองบัวลำภู!J368+อำนาจเจริญ!J368+อุดรธานี!J368+อุบลราชธานี!J368</f>
        <v>1305</v>
      </c>
      <c r="K368" s="163">
        <f t="shared" ca="1" si="75"/>
        <v>89.017735334242843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กาฬสินธุ์!I369+ขอนแก่น!I369+ชัยภูมิ!I369+นครพนม!I369+นครราชสีมา!I369+บึงกาฬ!I369+บุรีรัมย์!I369+มหาสารคาม!I369+มุกดาหาร!I369+ยโสธร!I369+ร้อยเอ็ด!I369+เลย!I369+ศรีสะเกษ!I369+สกลนคร!I369+สุรินทร์!I369+หนองคาย!I369+หนองบัวลำภู!I369+อำนาจเจริญ!I369+อุดรธานี!I369+อุบลราชธานี!I369</f>
        <v>0</v>
      </c>
      <c r="J369" s="204">
        <f ca="1">กาฬสินธุ์!J369+ขอนแก่น!J369+ชัยภูมิ!J369+นครพนม!J369+นครราชสีมา!J369+บึงกาฬ!J369+บุรีรัมย์!J369+มหาสารคาม!J369+มุกดาหาร!J369+ยโสธร!J369+ร้อยเอ็ด!J369+เลย!J369+ศรีสะเกษ!J369+สกลนคร!J369+สุรินทร์!J369+หนองคาย!J369+หนองบัวลำภู!J369+อำนาจเจริญ!J369+อุดรธานี!J369+อุบลราชธานี!J369</f>
        <v>0</v>
      </c>
      <c r="K369" s="163">
        <f t="shared" ca="1" si="75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293" t="s">
        <v>139</v>
      </c>
      <c r="H370" s="181" t="s">
        <v>37</v>
      </c>
      <c r="I370" s="162">
        <f ca="1">กาฬสินธุ์!I370+ขอนแก่น!I370+ชัยภูมิ!I370+นครพนม!I370+นครราชสีมา!I370+บึงกาฬ!I370+บุรีรัมย์!I370+มหาสารคาม!I370+มุกดาหาร!I370+ยโสธร!I370+ร้อยเอ็ด!I370+เลย!I370+ศรีสะเกษ!I370+สกลนคร!I370+สุรินทร์!I370+หนองคาย!I370+หนองบัวลำภู!I370+อำนาจเจริญ!I370+อุดรธานี!I370+อุบลราชธานี!I370</f>
        <v>1466</v>
      </c>
      <c r="J370" s="204">
        <f ca="1">กาฬสินธุ์!J370+ขอนแก่น!J370+ชัยภูมิ!J370+นครพนม!J370+นครราชสีมา!J370+บึงกาฬ!J370+บุรีรัมย์!J370+มหาสารคาม!J370+มุกดาหาร!J370+ยโสธร!J370+ร้อยเอ็ด!J370+เลย!J370+ศรีสะเกษ!J370+สกลนคร!J370+สุรินทร์!J370+หนองคาย!J370+หนองบัวลำภู!J370+อำนาจเจริญ!J370+อุดรธานี!J370+อุบลราชธานี!J370</f>
        <v>1299</v>
      </c>
      <c r="K370" s="163">
        <f t="shared" ca="1" si="75"/>
        <v>88.608458390177347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กาฬสินธุ์!I371+ขอนแก่น!I371+ชัยภูมิ!I371+นครพนม!I371+นครราชสีมา!I371+บึงกาฬ!I371+บุรีรัมย์!I371+มหาสารคาม!I371+มุกดาหาร!I371+ยโสธร!I371+ร้อยเอ็ด!I371+เลย!I371+ศรีสะเกษ!I371+สกลนคร!I371+สุรินทร์!I371+หนองคาย!I371+หนองบัวลำภู!I371+อำนาจเจริญ!I371+อุดรธานี!I371+อุบลราชธานี!I371</f>
        <v>0</v>
      </c>
      <c r="J371" s="189">
        <f ca="1">กาฬสินธุ์!J371+ขอนแก่น!J371+ชัยภูมิ!J371+นครพนม!J371+นครราชสีมา!J371+บึงกาฬ!J371+บุรีรัมย์!J371+มหาสารคาม!J371+มุกดาหาร!J371+ยโสธร!J371+ร้อยเอ็ด!J371+เลย!J371+ศรีสะเกษ!J371+สกลนคร!J371+สุรินทร์!J371+หนองคาย!J371+หนองบัวลำภู!J371+อำนาจเจริญ!J371+อุดรธานี!J371+อุบลราชธานี!J371</f>
        <v>0</v>
      </c>
      <c r="K371" s="163">
        <f t="shared" ca="1" si="75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293" t="s">
        <v>140</v>
      </c>
      <c r="H372" s="181" t="s">
        <v>37</v>
      </c>
      <c r="I372" s="162">
        <f ca="1">กาฬสินธุ์!I372+ขอนแก่น!I372+ชัยภูมิ!I372+นครพนม!I372+นครราชสีมา!I372+บึงกาฬ!I372+บุรีรัมย์!I372+มหาสารคาม!I372+มุกดาหาร!I372+ยโสธร!I372+ร้อยเอ็ด!I372+เลย!I372+ศรีสะเกษ!I372+สกลนคร!I372+สุรินทร์!I372+หนองคาย!I372+หนองบัวลำภู!I372+อำนาจเจริญ!I372+อุดรธานี!I372+อุบลราชธานี!I372</f>
        <v>1466</v>
      </c>
      <c r="J372" s="189">
        <f ca="1">กาฬสินธุ์!J372+ขอนแก่น!J372+ชัยภูมิ!J372+นครพนม!J372+นครราชสีมา!J372+บึงกาฬ!J372+บุรีรัมย์!J372+มหาสารคาม!J372+มุกดาหาร!J372+ยโสธร!J372+ร้อยเอ็ด!J372+เลย!J372+ศรีสะเกษ!J372+สกลนคร!J372+สุรินทร์!J372+หนองคาย!J372+หนองบัวลำภู!J372+อำนาจเจริญ!J372+อุดรธานี!J372+อุบลราชธานี!J372</f>
        <v>1019</v>
      </c>
      <c r="K372" s="163">
        <f t="shared" ca="1" si="75"/>
        <v>69.508867667121422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กาฬสินธุ์!I373+ขอนแก่น!I373+ชัยภูมิ!I373+นครพนม!I373+นครราชสีมา!I373+บึงกาฬ!I373+บุรีรัมย์!I373+มหาสารคาม!I373+มุกดาหาร!I373+ยโสธร!I373+ร้อยเอ็ด!I373+เลย!I373+ศรีสะเกษ!I373+สกลนคร!I373+สุรินทร์!I373+หนองคาย!I373+หนองบัวลำภู!I373+อำนาจเจริญ!I373+อุดรธานี!I373+อุบลราชธานี!I373</f>
        <v>0</v>
      </c>
      <c r="J373" s="204">
        <f ca="1">กาฬสินธุ์!J373+ขอนแก่น!J373+ชัยภูมิ!J373+นครพนม!J373+นครราชสีมา!J373+บึงกาฬ!J373+บุรีรัมย์!J373+มหาสารคาม!J373+มุกดาหาร!J373+ยโสธร!J373+ร้อยเอ็ด!J373+เลย!J373+ศรีสะเกษ!J373+สกลนคร!J373+สุรินทร์!J373+หนองคาย!J373+หนองบัวลำภู!J373+อำนาจเจริญ!J373+อุดรธานี!J373+อุบลราชธานี!J373</f>
        <v>0</v>
      </c>
      <c r="K373" s="163">
        <f t="shared" ca="1" si="75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กาฬสินธุ์!I374+ขอนแก่น!I374+ชัยภูมิ!I374+นครพนม!I374+นครราชสีมา!I374+บึงกาฬ!I374+บุรีรัมย์!I374+มหาสารคาม!I374+มุกดาหาร!I374+ยโสธร!I374+ร้อยเอ็ด!I374+เลย!I374+ศรีสะเกษ!I374+สกลนคร!I374+สุรินทร์!I374+หนองคาย!I374+หนองบัวลำภู!I374+อำนาจเจริญ!I374+อุดรธานี!I374+อุบลราชธานี!I374</f>
        <v>0</v>
      </c>
      <c r="J374" s="188">
        <f ca="1">กาฬสินธุ์!J374+ขอนแก่น!J374+ชัยภูมิ!J374+นครพนม!J374+นครราชสีมา!J374+บึงกาฬ!J374+บุรีรัมย์!J374+มหาสารคาม!J374+มุกดาหาร!J374+ยโสธร!J374+ร้อยเอ็ด!J374+เลย!J374+ศรีสะเกษ!J374+สกลนคร!J374+สุรินทร์!J374+หนองคาย!J374+หนองบัวลำภู!J374+อำนาจเจริญ!J374+อุดรธานี!J374+อุบลราชธานี!J374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กาฬสินธุ์!I375+ขอนแก่น!I375+ชัยภูมิ!I375+นครพนม!I375+นครราชสีมา!I375+บึงกาฬ!I375+บุรีรัมย์!I375+มหาสารคาม!I375+มุกดาหาร!I375+ยโสธร!I375+ร้อยเอ็ด!I375+เลย!I375+ศรีสะเกษ!I375+สกลนคร!I375+สุรินทร์!I375+หนองคาย!I375+หนองบัวลำภู!I375+อำนาจเจริญ!I375+อุดรธานี!I375+อุบลราชธานี!I375</f>
        <v>5203</v>
      </c>
      <c r="J375" s="188">
        <f ca="1">กาฬสินธุ์!J375+ขอนแก่น!J375+ชัยภูมิ!J375+นครพนม!J375+นครราชสีมา!J375+บึงกาฬ!J375+บุรีรัมย์!J375+มหาสารคาม!J375+มุกดาหาร!J375+ยโสธร!J375+ร้อยเอ็ด!J375+เลย!J375+ศรีสะเกษ!J375+สกลนคร!J375+สุรินทร์!J375+หนองคาย!J375+หนองบัวลำภู!J375+อำนาจเจริญ!J375+อุดรธานี!J375+อุบลราชธานี!J375</f>
        <v>1176</v>
      </c>
      <c r="K375" s="163">
        <f t="shared" ref="K375:K377" ca="1" si="76">IF(I375&gt;0,J375*100/I375,0)</f>
        <v>22.602344801076303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กาฬสินธุ์!I376+ขอนแก่น!I376+ชัยภูมิ!I376+นครพนม!I376+นครราชสีมา!I376+บึงกาฬ!I376+บุรีรัมย์!I376+มหาสารคาม!I376+มุกดาหาร!I376+ยโสธร!I376+ร้อยเอ็ด!I376+เลย!I376+ศรีสะเกษ!I376+สกลนคร!I376+สุรินทร์!I376+หนองคาย!I376+หนองบัวลำภู!I376+อำนาจเจริญ!I376+อุดรธานี!I376+อุบลราชธานี!I376</f>
        <v>2614</v>
      </c>
      <c r="J376" s="189">
        <f ca="1">กาฬสินธุ์!J376+ขอนแก่น!J376+ชัยภูมิ!J376+นครพนม!J376+นครราชสีมา!J376+บึงกาฬ!J376+บุรีรัมย์!J376+มหาสารคาม!J376+มุกดาหาร!J376+ยโสธร!J376+ร้อยเอ็ด!J376+เลย!J376+ศรีสะเกษ!J376+สกลนคร!J376+สุรินทร์!J376+หนองคาย!J376+หนองบัวลำภู!J376+อำนาจเจริญ!J376+อุดรธานี!J376+อุบลราชธานี!J376</f>
        <v>566</v>
      </c>
      <c r="K376" s="163">
        <f t="shared" ca="1" si="76"/>
        <v>21.652639632746748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กาฬสินธุ์!I377+ขอนแก่น!I377+ชัยภูมิ!I377+นครพนม!I377+นครราชสีมา!I377+บึงกาฬ!I377+บุรีรัมย์!I377+มหาสารคาม!I377+มุกดาหาร!I377+ยโสธร!I377+ร้อยเอ็ด!I377+เลย!I377+ศรีสะเกษ!I377+สกลนคร!I377+สุรินทร์!I377+หนองคาย!I377+หนองบัวลำภู!I377+อำนาจเจริญ!I377+อุดรธานี!I377+อุบลราชธานี!I377</f>
        <v>2589</v>
      </c>
      <c r="J377" s="204">
        <f ca="1">กาฬสินธุ์!J377+ขอนแก่น!J377+ชัยภูมิ!J377+นครพนม!J377+นครราชสีมา!J377+บึงกาฬ!J377+บุรีรัมย์!J377+มหาสารคาม!J377+มุกดาหาร!J377+ยโสธร!J377+ร้อยเอ็ด!J377+เลย!J377+ศรีสะเกษ!J377+สกลนคร!J377+สุรินทร์!J377+หนองคาย!J377+หนองบัวลำภู!J377+อำนาจเจริญ!J377+อุดรธานี!J377+อุบลราชธานี!J377</f>
        <v>610</v>
      </c>
      <c r="K377" s="163">
        <f t="shared" ca="1" si="76"/>
        <v>23.561220548474314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กาฬสินธุ์!J378+ขอนแก่น!J378+ชัยภูมิ!J378+นครพนม!J378+นครราชสีมา!J378+บึงกาฬ!J378+บุรีรัมย์!J378+มหาสารคาม!J378+มุกดาหาร!J378+ยโสธร!J378+ร้อยเอ็ด!J378+เลย!J378+ศรีสะเกษ!J378+สกลนคร!J378+สุรินทร์!J378+หนองคาย!J378+หนองบัวลำภู!J378+อำนาจเจริญ!J378+อุดรธานี!J378+อุบลราชธานี!J378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กาฬสินธุ์!J379+ขอนแก่น!J379+ชัยภูมิ!J379+นครพนม!J379+นครราชสีมา!J379+บึงกาฬ!J379+บุรีรัมย์!J379+มหาสารคาม!J379+มุกดาหาร!J379+ยโสธร!J379+ร้อยเอ็ด!J379+เลย!J379+ศรีสะเกษ!J379+สกลนคร!J379+สุรินทร์!J379+หนองคาย!J379+หนองบัวลำภู!J379+อำนาจเจริญ!J379+อุดรธานี!J379+อุบลราชธานี!J379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กาฬสินธุ์!I380+ขอนแก่น!I380+ชัยภูมิ!I380+นครพนม!I380+นครราชสีมา!I380+บึงกาฬ!I380+บุรีรัมย์!I380+มหาสารคาม!I380+มุกดาหาร!I380+ยโสธร!I380+ร้อยเอ็ด!I380+เลย!I380+ศรีสะเกษ!I380+สกลนคร!I380+สุรินทร์!I380+หนองคาย!I380+หนองบัวลำภู!I380+อำนาจเจริญ!I380+อุดรธานี!I380+อุบลราชธานี!I380</f>
        <v>18000</v>
      </c>
      <c r="J380" s="371">
        <f ca="1">กาฬสินธุ์!J380+ขอนแก่น!J380+ชัยภูมิ!J380+นครพนม!J380+นครราชสีมา!J380+บึงกาฬ!J380+บุรีรัมย์!J380+มหาสารคาม!J380+มุกดาหาร!J380+ยโสธร!J380+ร้อยเอ็ด!J380+เลย!J380+ศรีสะเกษ!J380+สกลนคร!J380+สุรินทร์!J380+หนองคาย!J380+หนองบัวลำภู!J380+อำนาจเจริญ!J380+อุดรธานี!J380+อุบลราชธานี!J380</f>
        <v>1500</v>
      </c>
      <c r="K380" s="372">
        <f t="shared" ref="K380:K381" ca="1" si="77">IF(I380&gt;0,J380*100/I380,0)</f>
        <v>8.3333333333333339</v>
      </c>
      <c r="L380" s="373">
        <f ca="1">กาฬสินธุ์!L380+ขอนแก่น!L380+ชัยภูมิ!L380+นครพนม!L380+นครราชสีมา!L380+บึงกาฬ!L380+บุรีรัมย์!L380+มหาสารคาม!L380+มุกดาหาร!L380+ยโสธร!L380+ร้อยเอ็ด!L380+เลย!L380+ศรีสะเกษ!L380+สกลนคร!L380+สุรินทร์!L380+หนองคาย!L380+หนองบัวลำภู!L380+อำนาจเจริญ!L380+อุดรธานี!L380+อุบลราชธานี!L380</f>
        <v>18296880</v>
      </c>
      <c r="M380" s="373"/>
      <c r="N380" s="373">
        <f ca="1">กาฬสินธุ์!N380+ขอนแก่น!N380+ชัยภูมิ!N380+นครพนม!N380+นครราชสีมา!N380+บึงกาฬ!N380+บุรีรัมย์!N380+มหาสารคาม!N380+มุกดาหาร!N380+ยโสธร!N380+ร้อยเอ็ด!N380+เลย!N380+ศรีสะเกษ!N380+สกลนคร!N380+สุรินทร์!N380+หนองคาย!N380+หนองบัวลำภู!N380+อำนาจเจริญ!N380+อุดรธานี!N380+อุบลราชธานี!N380</f>
        <v>3853946.669999999</v>
      </c>
      <c r="O380" s="373">
        <f ca="1">+IF(L380&gt;0,N380*100/L380,0)</f>
        <v>21.063409007437325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กาฬสินธุ์!I381+ขอนแก่น!I381+ชัยภูมิ!I381+นครพนม!I381+นครราชสีมา!I381+บึงกาฬ!I381+บุรีรัมย์!I381+มหาสารคาม!I381+มุกดาหาร!I381+ยโสธร!I381+ร้อยเอ็ด!I381+เลย!I381+ศรีสะเกษ!I381+สกลนคร!I381+สุรินทร์!I381+หนองคาย!I381+หนองบัวลำภู!I381+อำนาจเจริญ!I381+อุดรธานี!I381+อุบลราชธานี!I381</f>
        <v>1800</v>
      </c>
      <c r="J381" s="371">
        <f ca="1">กาฬสินธุ์!J381+ขอนแก่น!J381+ชัยภูมิ!J381+นครพนม!J381+นครราชสีมา!J381+บึงกาฬ!J381+บุรีรัมย์!J381+มหาสารคาม!J381+มุกดาหาร!J381+ยโสธร!J381+ร้อยเอ็ด!J381+เลย!J381+ศรีสะเกษ!J381+สกลนคร!J381+สุรินทร์!J381+หนองคาย!J381+หนองบัวลำภู!J381+อำนาจเจริญ!J381+อุดรธานี!J381+อุบลราชธานี!J381</f>
        <v>1760</v>
      </c>
      <c r="K381" s="372">
        <f t="shared" ca="1" si="77"/>
        <v>97.777777777777771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กาฬสินธุ์!L382+ขอนแก่น!L382+ชัยภูมิ!L382+นครพนม!L382+นครราชสีมา!L382+บึงกาฬ!L382+บุรีรัมย์!L382+มหาสารคาม!L382+มุกดาหาร!L382+ยโสธร!L382+ร้อยเอ็ด!L382+เลย!L382+ศรีสะเกษ!L382+สกลนคร!L382+สุรินทร์!L382+หนองคาย!L382+หนองบัวลำภู!L382+อำนาจเจริญ!L382+อุดรธานี!L382+อุบลราชธานี!L382</f>
        <v>0</v>
      </c>
      <c r="M382" s="164"/>
      <c r="N382" s="164">
        <f ca="1">กาฬสินธุ์!N382+ขอนแก่น!N382+ชัยภูมิ!N382+นครพนม!N382+นครราชสีมา!N382+บึงกาฬ!N382+บุรีรัมย์!N382+มหาสารคาม!N382+มุกดาหาร!N382+ยโสธร!N382+ร้อยเอ็ด!N382+เลย!N382+ศรีสะเกษ!N382+สกลนคร!N382+สุรินทร์!N382+หนองคาย!N382+หนองบัวลำภู!N382+อำนาจเจริญ!N382+อุดรธานี!N382+อุบลราชธานี!N382</f>
        <v>0</v>
      </c>
      <c r="O382" s="165">
        <f t="shared" ref="O382:O385" ca="1" si="78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กาฬสินธุ์!L383+ขอนแก่น!L383+ชัยภูมิ!L383+นครพนม!L383+นครราชสีมา!L383+บึงกาฬ!L383+บุรีรัมย์!L383+มหาสารคาม!L383+มุกดาหาร!L383+ยโสธร!L383+ร้อยเอ็ด!L383+เลย!L383+ศรีสะเกษ!L383+สกลนคร!L383+สุรินทร์!L383+หนองคาย!L383+หนองบัวลำภู!L383+อำนาจเจริญ!L383+อุดรธานี!L383+อุบลราชธานี!L383</f>
        <v>18296880</v>
      </c>
      <c r="M383" s="165"/>
      <c r="N383" s="165">
        <f ca="1">กาฬสินธุ์!N383+ขอนแก่น!N383+ชัยภูมิ!N383+นครพนม!N383+นครราชสีมา!N383+บึงกาฬ!N383+บุรีรัมย์!N383+มหาสารคาม!N383+มุกดาหาร!N383+ยโสธร!N383+ร้อยเอ็ด!N383+เลย!N383+ศรีสะเกษ!N383+สกลนคร!N383+สุรินทร์!N383+หนองคาย!N383+หนองบัวลำภู!N383+อำนาจเจริญ!N383+อุดรธานี!N383+อุบลราชธานี!N383</f>
        <v>3853946.669999999</v>
      </c>
      <c r="O383" s="165">
        <f t="shared" ca="1" si="78"/>
        <v>21.063409007437325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กาฬสินธุ์!L384+ขอนแก่น!L384+ชัยภูมิ!L384+นครพนม!L384+นครราชสีมา!L384+บึงกาฬ!L384+บุรีรัมย์!L384+มหาสารคาม!L384+มุกดาหาร!L384+ยโสธร!L384+ร้อยเอ็ด!L384+เลย!L384+ศรีสะเกษ!L384+สกลนคร!L384+สุรินทร์!L384+หนองคาย!L384+หนองบัวลำภู!L384+อำนาจเจริญ!L384+อุดรธานี!L384+อุบลราชธานี!L384</f>
        <v>0</v>
      </c>
      <c r="M384" s="169"/>
      <c r="N384" s="169">
        <f ca="1">กาฬสินธุ์!N384+ขอนแก่น!N384+ชัยภูมิ!N384+นครพนม!N384+นครราชสีมา!N384+บึงกาฬ!N384+บุรีรัมย์!N384+มหาสารคาม!N384+มุกดาหาร!N384+ยโสธร!N384+ร้อยเอ็ด!N384+เลย!N384+ศรีสะเกษ!N384+สกลนคร!N384+สุรินทร์!N384+หนองคาย!N384+หนองบัวลำภู!N384+อำนาจเจริญ!N384+อุดรธานี!N384+อุบลราชธานี!N384</f>
        <v>0</v>
      </c>
      <c r="O384" s="169">
        <f t="shared" ca="1" si="78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กาฬสินธุ์!L385+ขอนแก่น!L385+ชัยภูมิ!L385+นครพนม!L385+นครราชสีมา!L385+บึงกาฬ!L385+บุรีรัมย์!L385+มหาสารคาม!L385+มุกดาหาร!L385+ยโสธร!L385+ร้อยเอ็ด!L385+เลย!L385+ศรีสะเกษ!L385+สกลนคร!L385+สุรินทร์!L385+หนองคาย!L385+หนองบัวลำภู!L385+อำนาจเจริญ!L385+อุดรธานี!L385+อุบลราชธานี!L385</f>
        <v>18296880</v>
      </c>
      <c r="M385" s="169"/>
      <c r="N385" s="168">
        <f ca="1">กาฬสินธุ์!N385+ขอนแก่น!N385+ชัยภูมิ!N385+นครพนม!N385+นครราชสีมา!N385+บึงกาฬ!N385+บุรีรัมย์!N385+มหาสารคาม!N385+มุกดาหาร!N385+ยโสธร!N385+ร้อยเอ็ด!N385+เลย!N385+ศรีสะเกษ!N385+สกลนคร!N385+สุรินทร์!N385+หนองคาย!N385+หนองบัวลำภู!N385+อำนาจเจริญ!N385+อุดรธานี!N385+อุบลราชธานี!N385</f>
        <v>3853946.669999999</v>
      </c>
      <c r="O385" s="169">
        <f t="shared" ca="1" si="78"/>
        <v>21.063409007437325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กาฬสินธุ์!N386+ขอนแก่น!N386+ชัยภูมิ!N386+นครพนม!N386+นครราชสีมา!N386+บึงกาฬ!N386+บุรีรัมย์!N386+มหาสารคาม!N386+มุกดาหาร!N386+ยโสธร!N386+ร้อยเอ็ด!N386+เลย!N386+ศรีสะเกษ!N386+สกลนคร!N386+สุรินทร์!N386+หนองคาย!N386+หนองบัวลำภู!N386+อำนาจเจริญ!N386+อุดรธานี!N386+อุบลราชธานี!N386</f>
        <v>2063630.13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กาฬสินธุ์!N387+ขอนแก่น!N387+ชัยภูมิ!N387+นครพนม!N387+นครราชสีมา!N387+บึงกาฬ!N387+บุรีรัมย์!N387+มหาสารคาม!N387+มุกดาหาร!N387+ยโสธร!N387+ร้อยเอ็ด!N387+เลย!N387+ศรีสะเกษ!N387+สกลนคร!N387+สุรินทร์!N387+หนองคาย!N387+หนองบัวลำภู!N387+อำนาจเจริญ!N387+อุดรธานี!N387+อุบลราชธานี!N387</f>
        <v>625000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กาฬสินธุ์!N388+ขอนแก่น!N388+ชัยภูมิ!N388+นครพนม!N388+นครราชสีมา!N388+บึงกาฬ!N388+บุรีรัมย์!N388+มหาสารคาม!N388+มุกดาหาร!N388+ยโสธร!N388+ร้อยเอ็ด!N388+เลย!N388+ศรีสะเกษ!N388+สกลนคร!N388+สุรินทร์!N388+หนองคาย!N388+หนองบัวลำภู!N388+อำนาจเจริญ!N388+อุดรธานี!N388+อุบลราชธานี!N388</f>
        <v>893475.53999999992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กาฬสินธุ์!N389+ขอนแก่น!N389+ชัยภูมิ!N389+นครพนม!N389+นครราชสีมา!N389+บึงกาฬ!N389+บุรีรัมย์!N389+มหาสารคาม!N389+มุกดาหาร!N389+ยโสธร!N389+ร้อยเอ็ด!N389+เลย!N389+ศรีสะเกษ!N389+สกลนคร!N389+สุรินทร์!N389+หนองคาย!N389+หนองบัวลำภู!N389+อำนาจเจริญ!N389+อุดรธานี!N389+อุบลราชธานี!N389</f>
        <v>271841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กาฬสินธุ์!J391+ขอนแก่น!J391+ชัยภูมิ!J391+นครพนม!J391+นครราชสีมา!J391+บึงกาฬ!J391+บุรีรัมย์!J391+มหาสารคาม!J391+มุกดาหาร!J391+ยโสธร!J391+ร้อยเอ็ด!J391+เลย!J391+ศรีสะเกษ!J391+สกลนคร!J391+สุรินทร์!J391+หนองคาย!J391+หนองบัวลำภู!J391+อำนาจเจริญ!J391+อุดรธานี!J391+อุบลราชธานี!J391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กาฬสินธุ์!J392+ขอนแก่น!J392+ชัยภูมิ!J392+นครพนม!J392+นครราชสีมา!J392+บึงกาฬ!J392+บุรีรัมย์!J392+มหาสารคาม!J392+มุกดาหาร!J392+ยโสธร!J392+ร้อยเอ็ด!J392+เลย!J392+ศรีสะเกษ!J392+สกลนคร!J392+สุรินทร์!J392+หนองคาย!J392+หนองบัวลำภู!J392+อำนาจเจริญ!J392+อุดรธานี!J392+อุบลราชธานี!J392</f>
        <v>20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กาฬสินธุ์!J393+ขอนแก่น!J393+ชัยภูมิ!J393+นครพนม!J393+นครราชสีมา!J393+บึงกาฬ!J393+บุรีรัมย์!J393+มหาสารคาม!J393+มุกดาหาร!J393+ยโสธร!J393+ร้อยเอ็ด!J393+เลย!J393+ศรีสะเกษ!J393+สกลนคร!J393+สุรินทร์!J393+หนองคาย!J393+หนองบัวลำภู!J393+อำนาจเจริญ!J393+อุดรธานี!J393+อุบลราชธานี!J393</f>
        <v>19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กาฬสินธุ์!J394+ขอนแก่น!J394+ชัยภูมิ!J394+นครพนม!J394+นครราชสีมา!J394+บึงกาฬ!J394+บุรีรัมย์!J394+มหาสารคาม!J394+มุกดาหาร!J394+ยโสธร!J394+ร้อยเอ็ด!J394+เลย!J394+ศรีสะเกษ!J394+สกลนคร!J394+สุรินทร์!J394+หนองคาย!J394+หนองบัวลำภู!J394+อำนาจเจริญ!J394+อุดรธานี!J394+อุบลราชธานี!J394</f>
        <v>18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กาฬสินธุ์!I396+ขอนแก่น!I396+ชัยภูมิ!I396+นครพนม!I396+นครราชสีมา!I396+บึงกาฬ!I396+บุรีรัมย์!I396+มหาสารคาม!I396+มุกดาหาร!I396+ยโสธร!I396+ร้อยเอ็ด!I396+เลย!I396+ศรีสะเกษ!I396+สกลนคร!I396+สุรินทร์!I396+หนองคาย!I396+หนองบัวลำภู!I396+อำนาจเจริญ!I396+อุดรธานี!I396+อุบลราชธานี!I396</f>
        <v>1800</v>
      </c>
      <c r="J396" s="198">
        <f ca="1">กาฬสินธุ์!J396+ขอนแก่น!J396+ชัยภูมิ!J396+นครพนม!J396+นครราชสีมา!J396+บึงกาฬ!J396+บุรีรัมย์!J396+มหาสารคาม!J396+มุกดาหาร!J396+ยโสธร!J396+ร้อยเอ็ด!J396+เลย!J396+ศรีสะเกษ!J396+สกลนคร!J396+สุรินทร์!J396+หนองคาย!J396+หนองบัวลำภู!J396+อำนาจเจริญ!J396+อุดรธานี!J396+อุบลราชธานี!J396</f>
        <v>1760</v>
      </c>
      <c r="K396" s="163">
        <f t="shared" ref="K396:K398" ca="1" si="79">IF(I396&gt;0,J396*100/I396,0)</f>
        <v>97.777777777777771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กาฬสินธุ์!I397+ขอนแก่น!I397+ชัยภูมิ!I397+นครพนม!I397+นครราชสีมา!I397+บึงกาฬ!I397+บุรีรัมย์!I397+มหาสารคาม!I397+มุกดาหาร!I397+ยโสธร!I397+ร้อยเอ็ด!I397+เลย!I397+ศรีสะเกษ!I397+สกลนคร!I397+สุรินทร์!I397+หนองคาย!I397+หนองบัวลำภู!I397+อำนาจเจริญ!I397+อุดรธานี!I397+อุบลราชธานี!I397</f>
        <v>18000</v>
      </c>
      <c r="J397" s="198">
        <f ca="1">กาฬสินธุ์!J397+ขอนแก่น!J397+ชัยภูมิ!J397+นครพนม!J397+นครราชสีมา!J397+บึงกาฬ!J397+บุรีรัมย์!J397+มหาสารคาม!J397+มุกดาหาร!J397+ยโสธร!J397+ร้อยเอ็ด!J397+เลย!J397+ศรีสะเกษ!J397+สกลนคร!J397+สุรินทร์!J397+หนองคาย!J397+หนองบัวลำภู!J397+อำนาจเจริญ!J397+อุดรธานี!J397+อุบลราชธานี!J397</f>
        <v>1500</v>
      </c>
      <c r="K397" s="163">
        <f t="shared" ca="1" si="79"/>
        <v>8.3333333333333339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กาฬสินธุ์!I398+ขอนแก่น!I398+ชัยภูมิ!I398+นครพนม!I398+นครราชสีมา!I398+บึงกาฬ!I398+บุรีรัมย์!I398+มหาสารคาม!I398+มุกดาหาร!I398+ยโสธร!I398+ร้อยเอ็ด!I398+เลย!I398+ศรีสะเกษ!I398+สกลนคร!I398+สุรินทร์!I398+หนองคาย!I398+หนองบัวลำภู!I398+อำนาจเจริญ!I398+อุดรธานี!I398+อุบลราชธานี!I398</f>
        <v>1800</v>
      </c>
      <c r="J398" s="198">
        <f ca="1">กาฬสินธุ์!J398+ขอนแก่น!J398+ชัยภูมิ!J398+นครพนม!J398+นครราชสีมา!J398+บึงกาฬ!J398+บุรีรัมย์!J398+มหาสารคาม!J398+มุกดาหาร!J398+ยโสธร!J398+ร้อยเอ็ด!J398+เลย!J398+ศรีสะเกษ!J398+สกลนคร!J398+สุรินทร์!J398+หนองคาย!J398+หนองบัวลำภู!J398+อำนาจเจริญ!J398+อุดรธานี!J398+อุบลราชธานี!J398</f>
        <v>150</v>
      </c>
      <c r="K398" s="163">
        <f t="shared" ca="1" si="79"/>
        <v>8.3333333333333339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กาฬสินธุ์!J399+ขอนแก่น!J399+ชัยภูมิ!J399+นครพนม!J399+นครราชสีมา!J399+บึงกาฬ!J399+บุรีรัมย์!J399+มหาสารคาม!J399+มุกดาหาร!J399+ยโสธร!J399+ร้อยเอ็ด!J399+เลย!J399+ศรีสะเกษ!J399+สกลนคร!J399+สุรินทร์!J399+หนองคาย!J399+หนองบัวลำภู!J399+อำนาจเจริญ!J399+อุดรธานี!J399+อุบลราชธานี!J399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กาฬสินธุ์!J400+ขอนแก่น!J400+ชัยภูมิ!J400+นครพนม!J400+นครราชสีมา!J400+บึงกาฬ!J400+บุรีรัมย์!J400+มหาสารคาม!J400+มุกดาหาร!J400+ยโสธร!J400+ร้อยเอ็ด!J400+เลย!J400+ศรีสะเกษ!J400+สกลนคร!J400+สุรินทร์!J400+หนองคาย!J400+หนองบัวลำภู!J400+อำนาจเจริญ!J400+อุดรธานี!J400+อุบลราชธานี!J400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กาฬสินธุ์!I401+ขอนแก่น!I401+ชัยภูมิ!I401+นครพนม!I401+นครราชสีมา!I401+บึงกาฬ!I401+บุรีรัมย์!I401+มหาสารคาม!I401+มุกดาหาร!I401+ยโสธร!I401+ร้อยเอ็ด!I401+เลย!I401+ศรีสะเกษ!I401+สกลนคร!I401+สุรินทร์!I401+หนองคาย!I401+หนองบัวลำภู!I401+อำนาจเจริญ!I401+อุดรธานี!I401+อุบลราชธานี!I401</f>
        <v>3294</v>
      </c>
      <c r="J401" s="371">
        <f ca="1">กาฬสินธุ์!J401+ขอนแก่น!J401+ชัยภูมิ!J401+นครพนม!J401+นครราชสีมา!J401+บึงกาฬ!J401+บุรีรัมย์!J401+มหาสารคาม!J401+มุกดาหาร!J401+ยโสธร!J401+ร้อยเอ็ด!J401+เลย!J401+ศรีสะเกษ!J401+สกลนคร!J401+สุรินทร์!J401+หนองคาย!J401+หนองบัวลำภู!J401+อำนาจเจริญ!J401+อุดรธานี!J401+อุบลราชธานี!J401</f>
        <v>2769</v>
      </c>
      <c r="K401" s="372">
        <f t="shared" ref="K401:K402" ca="1" si="80">IF(I401&gt;0,J401*100/I401,0)</f>
        <v>84.061930783242261</v>
      </c>
      <c r="L401" s="373">
        <f ca="1">กาฬสินธุ์!L401+ขอนแก่น!L401+ชัยภูมิ!L401+นครพนม!L401+นครราชสีมา!L401+บึงกาฬ!L401+บุรีรัมย์!L401+มหาสารคาม!L401+มุกดาหาร!L401+ยโสธร!L401+ร้อยเอ็ด!L401+เลย!L401+ศรีสะเกษ!L401+สกลนคร!L401+สุรินทร์!L401+หนองคาย!L401+หนองบัวลำภู!L401+อำนาจเจริญ!L401+อุดรธานี!L401+อุบลราชธานี!L401</f>
        <v>3732450</v>
      </c>
      <c r="M401" s="373"/>
      <c r="N401" s="373">
        <f ca="1">กาฬสินธุ์!N401+ขอนแก่น!N401+ชัยภูมิ!N401+นครพนม!N401+นครราชสีมา!N401+บึงกาฬ!N401+บุรีรัมย์!N401+มหาสารคาม!N401+มุกดาหาร!N401+ยโสธร!N401+ร้อยเอ็ด!N401+เลย!N401+ศรีสะเกษ!N401+สกลนคร!N401+สุรินทร์!N401+หนองคาย!N401+หนองบัวลำภู!N401+อำนาจเจริญ!N401+อุดรธานี!N401+อุบลราชธานี!N401</f>
        <v>2266549.9500000002</v>
      </c>
      <c r="O401" s="373">
        <f ca="1">+IF(L401&gt;0,N401*100/L401,0)</f>
        <v>60.725527468552833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กาฬสินธุ์!I402+ขอนแก่น!I402+ชัยภูมิ!I402+นครพนม!I402+นครราชสีมา!I402+บึงกาฬ!I402+บุรีรัมย์!I402+มหาสารคาม!I402+มุกดาหาร!I402+ยโสธร!I402+ร้อยเอ็ด!I402+เลย!I402+ศรีสะเกษ!I402+สกลนคร!I402+สุรินทร์!I402+หนองคาย!I402+หนองบัวลำภู!I402+อำนาจเจริญ!I402+อุดรธานี!I402+อุบลราชธานี!I402</f>
        <v>1098</v>
      </c>
      <c r="J402" s="371">
        <f ca="1">กาฬสินธุ์!J402+ขอนแก่น!J402+ชัยภูมิ!J402+นครพนม!J402+นครราชสีมา!J402+บึงกาฬ!J402+บุรีรัมย์!J402+มหาสารคาม!J402+มุกดาหาร!J402+ยโสธร!J402+ร้อยเอ็ด!J402+เลย!J402+ศรีสะเกษ!J402+สกลนคร!J402+สุรินทร์!J402+หนองคาย!J402+หนองบัวลำภู!J402+อำนาจเจริญ!J402+อุดรธานี!J402+อุบลราชธานี!J402</f>
        <v>1058</v>
      </c>
      <c r="K402" s="372">
        <f t="shared" ca="1" si="80"/>
        <v>96.357012750455368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กาฬสินธุ์!L403+ขอนแก่น!L403+ชัยภูมิ!L403+นครพนม!L403+นครราชสีมา!L403+บึงกาฬ!L403+บุรีรัมย์!L403+มหาสารคาม!L403+มุกดาหาร!L403+ยโสธร!L403+ร้อยเอ็ด!L403+เลย!L403+ศรีสะเกษ!L403+สกลนคร!L403+สุรินทร์!L403+หนองคาย!L403+หนองบัวลำภู!L403+อำนาจเจริญ!L403+อุดรธานี!L403+อุบลราชธานี!L403</f>
        <v>0</v>
      </c>
      <c r="M403" s="164"/>
      <c r="N403" s="169">
        <f ca="1">กาฬสินธุ์!N403+ขอนแก่น!N403+ชัยภูมิ!N403+นครพนม!N403+นครราชสีมา!N403+บึงกาฬ!N403+บุรีรัมย์!N403+มหาสารคาม!N403+มุกดาหาร!N403+ยโสธร!N403+ร้อยเอ็ด!N403+เลย!N403+ศรีสะเกษ!N403+สกลนคร!N403+สุรินทร์!N403+หนองคาย!N403+หนองบัวลำภู!N403+อำนาจเจริญ!N403+อุดรธานี!N403+อุบลราชธานี!N403</f>
        <v>0</v>
      </c>
      <c r="O403" s="169">
        <f t="shared" ref="O403:O406" ca="1" si="81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กาฬสินธุ์!L404+ขอนแก่น!L404+ชัยภูมิ!L404+นครพนม!L404+นครราชสีมา!L404+บึงกาฬ!L404+บุรีรัมย์!L404+มหาสารคาม!L404+มุกดาหาร!L404+ยโสธร!L404+ร้อยเอ็ด!L404+เลย!L404+ศรีสะเกษ!L404+สกลนคร!L404+สุรินทร์!L404+หนองคาย!L404+หนองบัวลำภู!L404+อำนาจเจริญ!L404+อุดรธานี!L404+อุบลราชธานี!L404</f>
        <v>3732450</v>
      </c>
      <c r="M404" s="165"/>
      <c r="N404" s="169">
        <f ca="1">กาฬสินธุ์!N404+ขอนแก่น!N404+ชัยภูมิ!N404+นครพนม!N404+นครราชสีมา!N404+บึงกาฬ!N404+บุรีรัมย์!N404+มหาสารคาม!N404+มุกดาหาร!N404+ยโสธร!N404+ร้อยเอ็ด!N404+เลย!N404+ศรีสะเกษ!N404+สกลนคร!N404+สุรินทร์!N404+หนองคาย!N404+หนองบัวลำภู!N404+อำนาจเจริญ!N404+อุดรธานี!N404+อุบลราชธานี!N404</f>
        <v>2266549.9500000002</v>
      </c>
      <c r="O404" s="169">
        <f t="shared" ca="1" si="81"/>
        <v>60.725527468552833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กาฬสินธุ์!L405+ขอนแก่น!L405+ชัยภูมิ!L405+นครพนม!L405+นครราชสีมา!L405+บึงกาฬ!L405+บุรีรัมย์!L405+มหาสารคาม!L405+มุกดาหาร!L405+ยโสธร!L405+ร้อยเอ็ด!L405+เลย!L405+ศรีสะเกษ!L405+สกลนคร!L405+สุรินทร์!L405+หนองคาย!L405+หนองบัวลำภู!L405+อำนาจเจริญ!L405+อุดรธานี!L405+อุบลราชธานี!L405</f>
        <v>0</v>
      </c>
      <c r="M405" s="169"/>
      <c r="N405" s="169">
        <f ca="1">กาฬสินธุ์!N405+ขอนแก่น!N405+ชัยภูมิ!N405+นครพนม!N405+นครราชสีมา!N405+บึงกาฬ!N405+บุรีรัมย์!N405+มหาสารคาม!N405+มุกดาหาร!N405+ยโสธร!N405+ร้อยเอ็ด!N405+เลย!N405+ศรีสะเกษ!N405+สกลนคร!N405+สุรินทร์!N405+หนองคาย!N405+หนองบัวลำภู!N405+อำนาจเจริญ!N405+อุดรธานี!N405+อุบลราชธานี!N405</f>
        <v>0</v>
      </c>
      <c r="O405" s="169">
        <f t="shared" ca="1" si="81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กาฬสินธุ์!L406+ขอนแก่น!L406+ชัยภูมิ!L406+นครพนม!L406+นครราชสีมา!L406+บึงกาฬ!L406+บุรีรัมย์!L406+มหาสารคาม!L406+มุกดาหาร!L406+ยโสธร!L406+ร้อยเอ็ด!L406+เลย!L406+ศรีสะเกษ!L406+สกลนคร!L406+สุรินทร์!L406+หนองคาย!L406+หนองบัวลำภู!L406+อำนาจเจริญ!L406+อุดรธานี!L406+อุบลราชธานี!L406</f>
        <v>3732450</v>
      </c>
      <c r="M406" s="169"/>
      <c r="N406" s="169">
        <f ca="1">กาฬสินธุ์!N406+ขอนแก่น!N406+ชัยภูมิ!N406+นครพนม!N406+นครราชสีมา!N406+บึงกาฬ!N406+บุรีรัมย์!N406+มหาสารคาม!N406+มุกดาหาร!N406+ยโสธร!N406+ร้อยเอ็ด!N406+เลย!N406+ศรีสะเกษ!N406+สกลนคร!N406+สุรินทร์!N406+หนองคาย!N406+หนองบัวลำภู!N406+อำนาจเจริญ!N406+อุดรธานี!N406+อุบลราชธานี!N406</f>
        <v>2266549.9500000002</v>
      </c>
      <c r="O406" s="169">
        <f t="shared" ca="1" si="81"/>
        <v>60.725527468552833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กาฬสินธุ์!N407+ขอนแก่น!N407+ชัยภูมิ!N407+นครพนม!N407+นครราชสีมา!N407+บึงกาฬ!N407+บุรีรัมย์!N407+มหาสารคาม!N407+มุกดาหาร!N407+ยโสธร!N407+ร้อยเอ็ด!N407+เลย!N407+ศรีสะเกษ!N407+สกลนคร!N407+สุรินทร์!N407+หนองคาย!N407+หนองบัวลำภู!N407+อำนาจเจริญ!N407+อุดรธานี!N407+อุบลราชธานี!N407</f>
        <v>1722800.75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กาฬสินธุ์!N408+ขอนแก่น!N408+ชัยภูมิ!N408+นครพนม!N408+นครราชสีมา!N408+บึงกาฬ!N408+บุรีรัมย์!N408+มหาสารคาม!N408+มุกดาหาร!N408+ยโสธร!N408+ร้อยเอ็ด!N408+เลย!N408+ศรีสะเกษ!N408+สกลนคร!N408+สุรินทร์!N408+หนองคาย!N408+หนองบัวลำภู!N408+อำนาจเจริญ!N408+อุดรธานี!N408+อุบลราชธานี!N408</f>
        <v>331755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กาฬสินธุ์!N409+ขอนแก่น!N409+ชัยภูมิ!N409+นครพนม!N409+นครราชสีมา!N409+บึงกาฬ!N409+บุรีรัมย์!N409+มหาสารคาม!N409+มุกดาหาร!N409+ยโสธร!N409+ร้อยเอ็ด!N409+เลย!N409+ศรีสะเกษ!N409+สกลนคร!N409+สุรินทร์!N409+หนองคาย!N409+หนองบัวลำภู!N409+อำนาจเจริญ!N409+อุดรธานี!N409+อุบลราชธานี!N409</f>
        <v>1860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กาฬสินธุ์!N410+ขอนแก่น!N410+ชัยภูมิ!N410+นครพนม!N410+นครราชสีมา!N410+บึงกาฬ!N410+บุรีรัมย์!N410+มหาสารคาม!N410+มุกดาหาร!N410+ยโสธร!N410+ร้อยเอ็ด!N410+เลย!N410+ศรีสะเกษ!N410+สกลนคร!N410+สุรินทร์!N410+หนองคาย!N410+หนองบัวลำภู!N410+อำนาจเจริญ!N410+อุดรธานี!N410+อุบลราชธานี!N410</f>
        <v>210134.2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กาฬสินธุ์!J412+ขอนแก่น!J412+ชัยภูมิ!J412+นครพนม!J412+นครราชสีมา!J412+บึงกาฬ!J412+บุรีรัมย์!J412+มหาสารคาม!J412+มุกดาหาร!J412+ยโสธร!J412+ร้อยเอ็ด!J412+เลย!J412+ศรีสะเกษ!J412+สกลนคร!J412+สุรินทร์!J412+หนองคาย!J412+หนองบัวลำภู!J412+อำนาจเจริญ!J412+อุดรธานี!J412+อุบลราชธานี!J412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กาฬสินธุ์!J413+ขอนแก่น!J413+ชัยภูมิ!J413+นครพนม!J413+นครราชสีมา!J413+บึงกาฬ!J413+บุรีรัมย์!J413+มหาสารคาม!J413+มุกดาหาร!J413+ยโสธร!J413+ร้อยเอ็ด!J413+เลย!J413+ศรีสะเกษ!J413+สกลนคร!J413+สุรินทร์!J413+หนองคาย!J413+หนองบัวลำภู!J413+อำนาจเจริญ!J413+อุดรธานี!J413+อุบลราชธานี!J413</f>
        <v>20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กาฬสินธุ์!J414+ขอนแก่น!J414+ชัยภูมิ!J414+นครพนม!J414+นครราชสีมา!J414+บึงกาฬ!J414+บุรีรัมย์!J414+มหาสารคาม!J414+มุกดาหาร!J414+ยโสธร!J414+ร้อยเอ็ด!J414+เลย!J414+ศรีสะเกษ!J414+สกลนคร!J414+สุรินทร์!J414+หนองคาย!J414+หนองบัวลำภู!J414+อำนาจเจริญ!J414+อุดรธานี!J414+อุบลราชธานี!J414</f>
        <v>19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กาฬสินธุ์!J415+ขอนแก่น!J415+ชัยภูมิ!J415+นครพนม!J415+นครราชสีมา!J415+บึงกาฬ!J415+บุรีรัมย์!J415+มหาสารคาม!J415+มุกดาหาร!J415+ยโสธร!J415+ร้อยเอ็ด!J415+เลย!J415+ศรีสะเกษ!J415+สกลนคร!J415+สุรินทร์!J415+หนองคาย!J415+หนองบัวลำภู!J415+อำนาจเจริญ!J415+อุดรธานี!J415+อุบลราชธานี!J415</f>
        <v>14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กาฬสินธุ์!I416+ขอนแก่น!I416+ชัยภูมิ!I416+นครพนม!I416+นครราชสีมา!I416+บึงกาฬ!I416+บุรีรัมย์!I416+มหาสารคาม!I416+มุกดาหาร!I416+ยโสธร!I416+ร้อยเอ็ด!I416+เลย!I416+ศรีสะเกษ!I416+สกลนคร!I416+สุรินทร์!I416+หนองคาย!I416+หนองบัวลำภู!I416+อำนาจเจริญ!I416+อุดรธานี!I416+อุบลราชธานี!I416</f>
        <v>1098</v>
      </c>
      <c r="J416" s="201">
        <f ca="1">กาฬสินธุ์!J416+ขอนแก่น!J416+ชัยภูมิ!J416+นครพนม!J416+นครราชสีมา!J416+บึงกาฬ!J416+บุรีรัมย์!J416+มหาสารคาม!J416+มุกดาหาร!J416+ยโสธร!J416+ร้อยเอ็ด!J416+เลย!J416+ศรีสะเกษ!J416+สกลนคร!J416+สุรินทร์!J416+หนองคาย!J416+หนองบัวลำภู!J416+อำนาจเจริญ!J416+อุดรธานี!J416+อุบลราชธานี!J416</f>
        <v>1058</v>
      </c>
      <c r="K416" s="202">
        <f t="shared" ref="K416:K432" ca="1" si="82">IF(I416&gt;0,J416*100/I416,0)</f>
        <v>96.357012750455368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กาฬสินธุ์!I417+ขอนแก่น!I417+ชัยภูมิ!I417+นครพนม!I417+นครราชสีมา!I417+บึงกาฬ!I417+บุรีรัมย์!I417+มหาสารคาม!I417+มุกดาหาร!I417+ยโสธร!I417+ร้อยเอ็ด!I417+เลย!I417+ศรีสะเกษ!I417+สกลนคร!I417+สุรินทร์!I417+หนองคาย!I417+หนองบัวลำภู!I417+อำนาจเจริญ!I417+อุดรธานี!I417+อุบลราชธานี!I417</f>
        <v>270</v>
      </c>
      <c r="J417" s="392">
        <f ca="1">กาฬสินธุ์!J417+ขอนแก่น!J417+ชัยภูมิ!J417+นครพนม!J417+นครราชสีมา!J417+บึงกาฬ!J417+บุรีรัมย์!J417+มหาสารคาม!J417+มุกดาหาร!J417+ยโสธร!J417+ร้อยเอ็ด!J417+เลย!J417+ศรีสะเกษ!J417+สกลนคร!J417+สุรินทร์!J417+หนองคาย!J417+หนองบัวลำภู!J417+อำนาจเจริญ!J417+อุดรธานี!J417+อุบลราชธานี!J417</f>
        <v>270</v>
      </c>
      <c r="K417" s="202">
        <f t="shared" ca="1" si="82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กาฬสินธุ์!I418+ขอนแก่น!I418+ชัยภูมิ!I418+นครพนม!I418+นครราชสีมา!I418+บึงกาฬ!I418+บุรีรัมย์!I418+มหาสารคาม!I418+มุกดาหาร!I418+ยโสธร!I418+ร้อยเอ็ด!I418+เลย!I418+ศรีสะเกษ!I418+สกลนคร!I418+สุรินทร์!I418+หนองคาย!I418+หนองบัวลำภู!I418+อำนาจเจริญ!I418+อุดรธานี!I418+อุบลราชธานี!I418</f>
        <v>810</v>
      </c>
      <c r="J418" s="393">
        <f ca="1">กาฬสินธุ์!J418+ขอนแก่น!J418+ชัยภูมิ!J418+นครพนม!J418+นครราชสีมา!J418+บึงกาฬ!J418+บุรีรัมย์!J418+มหาสารคาม!J418+มุกดาหาร!J418+ยโสธร!J418+ร้อยเอ็ด!J418+เลย!J418+ศรีสะเกษ!J418+สกลนคร!J418+สุรินทร์!J418+หนองคาย!J418+หนองบัวลำภู!J418+อำนาจเจริญ!J418+อุดรธานี!J418+อุบลราชธานี!J418</f>
        <v>696</v>
      </c>
      <c r="K418" s="202">
        <f t="shared" ca="1" si="82"/>
        <v>85.925925925925924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กาฬสินธุ์!I419+ขอนแก่น!I419+ชัยภูมิ!I419+นครพนม!I419+นครราชสีมา!I419+บึงกาฬ!I419+บุรีรัมย์!I419+มหาสารคาม!I419+มุกดาหาร!I419+ยโสธร!I419+ร้อยเอ็ด!I419+เลย!I419+ศรีสะเกษ!I419+สกลนคร!I419+สุรินทร์!I419+หนองคาย!I419+หนองบัวลำภู!I419+อำนาจเจริญ!I419+อุดรธานี!I419+อุบลราชธานี!I419</f>
        <v>270</v>
      </c>
      <c r="J419" s="394">
        <f ca="1">กาฬสินธุ์!J419+ขอนแก่น!J419+ชัยภูมิ!J419+นครพนม!J419+นครราชสีมา!J419+บึงกาฬ!J419+บุรีรัมย์!J419+มหาสารคาม!J419+มุกดาหาร!J419+ยโสธร!J419+ร้อยเอ็ด!J419+เลย!J419+ศรีสะเกษ!J419+สกลนคร!J419+สุรินทร์!J419+หนองคาย!J419+หนองบัวลำภู!J419+อำนาจเจริญ!J419+อุดรธานี!J419+อุบลราชธานี!J419</f>
        <v>270</v>
      </c>
      <c r="K419" s="163">
        <f t="shared" ca="1" si="82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กาฬสินธุ์!I420+ขอนแก่น!I420+ชัยภูมิ!I420+นครพนม!I420+นครราชสีมา!I420+บึงกาฬ!I420+บุรีรัมย์!I420+มหาสารคาม!I420+มุกดาหาร!I420+ยโสธร!I420+ร้อยเอ็ด!I420+เลย!I420+ศรีสะเกษ!I420+สกลนคร!I420+สุรินทร์!I420+หนองคาย!I420+หนองบัวลำภู!I420+อำนาจเจริญ!I420+อุดรธานี!I420+อุบลราชธานี!I420</f>
        <v>270</v>
      </c>
      <c r="J420" s="394">
        <f ca="1">กาฬสินธุ์!J420+ขอนแก่น!J420+ชัยภูมิ!J420+นครพนม!J420+นครราชสีมา!J420+บึงกาฬ!J420+บุรีรัมย์!J420+มหาสารคาม!J420+มุกดาหาร!J420+ยโสธร!J420+ร้อยเอ็ด!J420+เลย!J420+ศรีสะเกษ!J420+สกลนคร!J420+สุรินทร์!J420+หนองคาย!J420+หนองบัวลำภู!J420+อำนาจเจริญ!J420+อุดรธานี!J420+อุบลราชธานี!J420</f>
        <v>270</v>
      </c>
      <c r="K420" s="288">
        <f t="shared" ca="1" si="82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กาฬสินธุ์!I421+ขอนแก่น!I421+ชัยภูมิ!I421+นครพนม!I421+นครราชสีมา!I421+บึงกาฬ!I421+บุรีรัมย์!I421+มหาสารคาม!I421+มุกดาหาร!I421+ยโสธร!I421+ร้อยเอ็ด!I421+เลย!I421+ศรีสะเกษ!I421+สกลนคร!I421+สุรินทร์!I421+หนองคาย!I421+หนองบัวลำภู!I421+อำนาจเจริญ!I421+อุดรธานี!I421+อุบลราชธานี!I421</f>
        <v>609</v>
      </c>
      <c r="J421" s="392">
        <f ca="1">กาฬสินธุ์!J421+ขอนแก่น!J421+ชัยภูมิ!J421+นครพนม!J421+นครราชสีมา!J421+บึงกาฬ!J421+บุรีรัมย์!J421+มหาสารคาม!J421+มุกดาหาร!J421+ยโสธร!J421+ร้อยเอ็ด!J421+เลย!J421+ศรีสะเกษ!J421+สกลนคร!J421+สุรินทร์!J421+หนองคาย!J421+หนองบัวลำภู!J421+อำนาจเจริญ!J421+อุดรธานี!J421+อุบลราชธานี!J421</f>
        <v>589</v>
      </c>
      <c r="K421" s="202">
        <f t="shared" ca="1" si="82"/>
        <v>96.715927750410515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กาฬสินธุ์!I422+ขอนแก่น!I422+ชัยภูมิ!I422+นครพนม!I422+นครราชสีมา!I422+บึงกาฬ!I422+บุรีรัมย์!I422+มหาสารคาม!I422+มุกดาหาร!I422+ยโสธร!I422+ร้อยเอ็ด!I422+เลย!I422+ศรีสะเกษ!I422+สกลนคร!I422+สุรินทร์!I422+หนองคาย!I422+หนองบัวลำภู!I422+อำนาจเจริญ!I422+อุดรธานี!I422+อุบลราชธานี!I422</f>
        <v>1827</v>
      </c>
      <c r="J422" s="393">
        <f ca="1">กาฬสินธุ์!J422+ขอนแก่น!J422+ชัยภูมิ!J422+นครพนม!J422+นครราชสีมา!J422+บึงกาฬ!J422+บุรีรัมย์!J422+มหาสารคาม!J422+มุกดาหาร!J422+ยโสธร!J422+ร้อยเอ็ด!J422+เลย!J422+ศรีสะเกษ!J422+สกลนคร!J422+สุรินทร์!J422+หนองคาย!J422+หนองบัวลำภู!J422+อำนาจเจริญ!J422+อุดรธานี!J422+อุบลราชธานี!J422</f>
        <v>1617</v>
      </c>
      <c r="K422" s="202">
        <f t="shared" ca="1" si="82"/>
        <v>88.505747126436788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กาฬสินธุ์!I423+ขอนแก่น!I423+ชัยภูมิ!I423+นครพนม!I423+นครราชสีมา!I423+บึงกาฬ!I423+บุรีรัมย์!I423+มหาสารคาม!I423+มุกดาหาร!I423+ยโสธร!I423+ร้อยเอ็ด!I423+เลย!I423+ศรีสะเกษ!I423+สกลนคร!I423+สุรินทร์!I423+หนองคาย!I423+หนองบัวลำภู!I423+อำนาจเจริญ!I423+อุดรธานี!I423+อุบลราชธานี!I423</f>
        <v>609</v>
      </c>
      <c r="J423" s="394">
        <f ca="1">กาฬสินธุ์!J423+ขอนแก่น!J423+ชัยภูมิ!J423+นครพนม!J423+นครราชสีมา!J423+บึงกาฬ!J423+บุรีรัมย์!J423+มหาสารคาม!J423+มุกดาหาร!J423+ยโสธร!J423+ร้อยเอ็ด!J423+เลย!J423+ศรีสะเกษ!J423+สกลนคร!J423+สุรินทร์!J423+หนองคาย!J423+หนองบัวลำภู!J423+อำนาจเจริญ!J423+อุดรธานี!J423+อุบลราชธานี!J423</f>
        <v>589</v>
      </c>
      <c r="K423" s="163">
        <f t="shared" ca="1" si="82"/>
        <v>96.715927750410515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กาฬสินธุ์!I424+ขอนแก่น!I424+ชัยภูมิ!I424+นครพนม!I424+นครราชสีมา!I424+บึงกาฬ!I424+บุรีรัมย์!I424+มหาสารคาม!I424+มุกดาหาร!I424+ยโสธร!I424+ร้อยเอ็ด!I424+เลย!I424+ศรีสะเกษ!I424+สกลนคร!I424+สุรินทร์!I424+หนองคาย!I424+หนองบัวลำภู!I424+อำนาจเจริญ!I424+อุดรธานี!I424+อุบลราชธานี!I424</f>
        <v>609</v>
      </c>
      <c r="J424" s="394">
        <f ca="1">กาฬสินธุ์!J424+ขอนแก่น!J424+ชัยภูมิ!J424+นครพนม!J424+นครราชสีมา!J424+บึงกาฬ!J424+บุรีรัมย์!J424+มหาสารคาม!J424+มุกดาหาร!J424+ยโสธร!J424+ร้อยเอ็ด!J424+เลย!J424+ศรีสะเกษ!J424+สกลนคร!J424+สุรินทร์!J424+หนองคาย!J424+หนองบัวลำภู!J424+อำนาจเจริญ!J424+อุดรธานี!J424+อุบลราชธานี!J424</f>
        <v>589</v>
      </c>
      <c r="K424" s="163">
        <f t="shared" ca="1" si="82"/>
        <v>96.715927750410515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กาฬสินธุ์!I425+ขอนแก่น!I425+ชัยภูมิ!I425+นครพนม!I425+นครราชสีมา!I425+บึงกาฬ!I425+บุรีรัมย์!I425+มหาสารคาม!I425+มุกดาหาร!I425+ยโสธร!I425+ร้อยเอ็ด!I425+เลย!I425+ศรีสะเกษ!I425+สกลนคร!I425+สุรินทร์!I425+หนองคาย!I425+หนองบัวลำภู!I425+อำนาจเจริญ!I425+อุดรธานี!I425+อุบลราชธานี!I425</f>
        <v>609</v>
      </c>
      <c r="J425" s="394">
        <f ca="1">กาฬสินธุ์!J425+ขอนแก่น!J425+ชัยภูมิ!J425+นครพนม!J425+นครราชสีมา!J425+บึงกาฬ!J425+บุรีรัมย์!J425+มหาสารคาม!J425+มุกดาหาร!J425+ยโสธร!J425+ร้อยเอ็ด!J425+เลย!J425+ศรีสะเกษ!J425+สกลนคร!J425+สุรินทร์!J425+หนองคาย!J425+หนองบัวลำภู!J425+อำนาจเจริญ!J425+อุดรธานี!J425+อุบลราชธานี!J425</f>
        <v>589</v>
      </c>
      <c r="K425" s="163">
        <f t="shared" ca="1" si="82"/>
        <v>96.715927750410515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กาฬสินธุ์!I426+ขอนแก่น!I426+ชัยภูมิ!I426+นครพนม!I426+นครราชสีมา!I426+บึงกาฬ!I426+บุรีรัมย์!I426+มหาสารคาม!I426+มุกดาหาร!I426+ยโสธร!I426+ร้อยเอ็ด!I426+เลย!I426+ศรีสะเกษ!I426+สกลนคร!I426+สุรินทร์!I426+หนองคาย!I426+หนองบัวลำภู!I426+อำนาจเจริญ!I426+อุดรธานี!I426+อุบลราชธานี!I426</f>
        <v>219</v>
      </c>
      <c r="J426" s="392">
        <f ca="1">กาฬสินธุ์!J426+ขอนแก่น!J426+ชัยภูมิ!J426+นครพนม!J426+นครราชสีมา!J426+บึงกาฬ!J426+บุรีรัมย์!J426+มหาสารคาม!J426+มุกดาหาร!J426+ยโสธร!J426+ร้อยเอ็ด!J426+เลย!J426+ศรีสะเกษ!J426+สกลนคร!J426+สุรินทร์!J426+หนองคาย!J426+หนองบัวลำภู!J426+อำนาจเจริญ!J426+อุดรธานี!J426+อุบลราชธานี!J426</f>
        <v>199</v>
      </c>
      <c r="K426" s="202">
        <f t="shared" ca="1" si="82"/>
        <v>90.867579908675793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กาฬสินธุ์!I427+ขอนแก่น!I427+ชัยภูมิ!I427+นครพนม!I427+นครราชสีมา!I427+บึงกาฬ!I427+บุรีรัมย์!I427+มหาสารคาม!I427+มุกดาหาร!I427+ยโสธร!I427+ร้อยเอ็ด!I427+เลย!I427+ศรีสะเกษ!I427+สกลนคร!I427+สุรินทร์!I427+หนองคาย!I427+หนองบัวลำภู!I427+อำนาจเจริญ!I427+อุดรธานี!I427+อุบลราชธานี!I427</f>
        <v>657</v>
      </c>
      <c r="J427" s="393">
        <f ca="1">กาฬสินธุ์!J427+ขอนแก่น!J427+ชัยภูมิ!J427+นครพนม!J427+นครราชสีมา!J427+บึงกาฬ!J427+บุรีรัมย์!J427+มหาสารคาม!J427+มุกดาหาร!J427+ยโสธร!J427+ร้อยเอ็ด!J427+เลย!J427+ศรีสะเกษ!J427+สกลนคร!J427+สุรินทร์!J427+หนองคาย!J427+หนองบัวลำภู!J427+อำนาจเจริญ!J427+อุดรธานี!J427+อุบลราชธานี!J427</f>
        <v>456</v>
      </c>
      <c r="K427" s="202">
        <f t="shared" ca="1" si="82"/>
        <v>69.406392694063925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กาฬสินธุ์!I428+ขอนแก่น!I428+ชัยภูมิ!I428+นครพนม!I428+นครราชสีมา!I428+บึงกาฬ!I428+บุรีรัมย์!I428+มหาสารคาม!I428+มุกดาหาร!I428+ยโสธร!I428+ร้อยเอ็ด!I428+เลย!I428+ศรีสะเกษ!I428+สกลนคร!I428+สุรินทร์!I428+หนองคาย!I428+หนองบัวลำภู!I428+อำนาจเจริญ!I428+อุดรธานี!I428+อุบลราชธานี!I428</f>
        <v>219</v>
      </c>
      <c r="J428" s="394">
        <f ca="1">กาฬสินธุ์!J428+ขอนแก่น!J428+ชัยภูมิ!J428+นครพนม!J428+นครราชสีมา!J428+บึงกาฬ!J428+บุรีรัมย์!J428+มหาสารคาม!J428+มุกดาหาร!J428+ยโสธร!J428+ร้อยเอ็ด!J428+เลย!J428+ศรีสะเกษ!J428+สกลนคร!J428+สุรินทร์!J428+หนองคาย!J428+หนองบัวลำภู!J428+อำนาจเจริญ!J428+อุดรธานี!J428+อุบลราชธานี!J428</f>
        <v>199</v>
      </c>
      <c r="K428" s="163">
        <f t="shared" ca="1" si="82"/>
        <v>90.867579908675793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กาฬสินธุ์!I429+ขอนแก่น!I429+ชัยภูมิ!I429+นครพนม!I429+นครราชสีมา!I429+บึงกาฬ!I429+บุรีรัมย์!I429+มหาสารคาม!I429+มุกดาหาร!I429+ยโสธร!I429+ร้อยเอ็ด!I429+เลย!I429+ศรีสะเกษ!I429+สกลนคร!I429+สุรินทร์!I429+หนองคาย!I429+หนองบัวลำภู!I429+อำนาจเจริญ!I429+อุดรธานี!I429+อุบลราชธานี!I429</f>
        <v>219</v>
      </c>
      <c r="J429" s="394">
        <f ca="1">กาฬสินธุ์!J429+ขอนแก่น!J429+ชัยภูมิ!J429+นครพนม!J429+นครราชสีมา!J429+บึงกาฬ!J429+บุรีรัมย์!J429+มหาสารคาม!J429+มุกดาหาร!J429+ยโสธร!J429+ร้อยเอ็ด!J429+เลย!J429+ศรีสะเกษ!J429+สกลนคร!J429+สุรินทร์!J429+หนองคาย!J429+หนองบัวลำภู!J429+อำนาจเจริญ!J429+อุดรธานี!J429+อุบลราชธานี!J429</f>
        <v>199</v>
      </c>
      <c r="K429" s="163">
        <f t="shared" ca="1" si="82"/>
        <v>90.867579908675793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กาฬสินธุ์!I430+ขอนแก่น!I430+ชัยภูมิ!I430+นครพนม!I430+นครราชสีมา!I430+บึงกาฬ!I430+บุรีรัมย์!I430+มหาสารคาม!I430+มุกดาหาร!I430+ยโสธร!I430+ร้อยเอ็ด!I430+เลย!I430+ศรีสะเกษ!I430+สกลนคร!I430+สุรินทร์!I430+หนองคาย!I430+หนองบัวลำภู!I430+อำนาจเจริญ!I430+อุดรธานี!I430+อุบลราชธานี!I430</f>
        <v>879</v>
      </c>
      <c r="J430" s="392">
        <f ca="1">กาฬสินธุ์!J430+ขอนแก่น!J430+ชัยภูมิ!J430+นครพนม!J430+นครราชสีมา!J430+บึงกาฬ!J430+บุรีรัมย์!J430+มหาสารคาม!J430+มุกดาหาร!J430+ยโสธร!J430+ร้อยเอ็ด!J430+เลย!J430+ศรีสะเกษ!J430+สกลนคร!J430+สุรินทร์!J430+หนองคาย!J430+หนองบัวลำภู!J430+อำนาจเจริญ!J430+อุดรธานี!J430+อุบลราชธานี!J430</f>
        <v>301</v>
      </c>
      <c r="K430" s="202">
        <f t="shared" ca="1" si="82"/>
        <v>34.243458475540386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กาฬสินธุ์!I431+ขอนแก่น!I431+ชัยภูมิ!I431+นครพนม!I431+นครราชสีมา!I431+บึงกาฬ!I431+บุรีรัมย์!I431+มหาสารคาม!I431+มุกดาหาร!I431+ยโสธร!I431+ร้อยเอ็ด!I431+เลย!I431+ศรีสะเกษ!I431+สกลนคร!I431+สุรินทร์!I431+หนองคาย!I431+หนองบัวลำภู!I431+อำนาจเจริญ!I431+อุดรธานี!I431+อุบลราชธานี!I431</f>
        <v>270</v>
      </c>
      <c r="J431" s="394">
        <f ca="1">กาฬสินธุ์!J431+ขอนแก่น!J431+ชัยภูมิ!J431+นครพนม!J431+นครราชสีมา!J431+บึงกาฬ!J431+บุรีรัมย์!J431+มหาสารคาม!J431+มุกดาหาร!J431+ยโสธร!J431+ร้อยเอ็ด!J431+เลย!J431+ศรีสะเกษ!J431+สกลนคร!J431+สุรินทร์!J431+หนองคาย!J431+หนองบัวลำภู!J431+อำนาจเจริญ!J431+อุดรธานี!J431+อุบลราชธานี!J431</f>
        <v>100</v>
      </c>
      <c r="K431" s="163">
        <f t="shared" ca="1" si="82"/>
        <v>37.037037037037038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กาฬสินธุ์!I432+ขอนแก่น!I432+ชัยภูมิ!I432+นครพนม!I432+นครราชสีมา!I432+บึงกาฬ!I432+บุรีรัมย์!I432+มหาสารคาม!I432+มุกดาหาร!I432+ยโสธร!I432+ร้อยเอ็ด!I432+เลย!I432+ศรีสะเกษ!I432+สกลนคร!I432+สุรินทร์!I432+หนองคาย!I432+หนองบัวลำภู!I432+อำนาจเจริญ!I432+อุดรธานี!I432+อุบลราชธานี!I432</f>
        <v>609</v>
      </c>
      <c r="J432" s="394">
        <f ca="1">กาฬสินธุ์!J432+ขอนแก่น!J432+ชัยภูมิ!J432+นครพนม!J432+นครราชสีมา!J432+บึงกาฬ!J432+บุรีรัมย์!J432+มหาสารคาม!J432+มุกดาหาร!J432+ยโสธร!J432+ร้อยเอ็ด!J432+เลย!J432+ศรีสะเกษ!J432+สกลนคร!J432+สุรินทร์!J432+หนองคาย!J432+หนองบัวลำภู!J432+อำนาจเจริญ!J432+อุดรธานี!J432+อุบลราชธานี!J432</f>
        <v>211</v>
      </c>
      <c r="K432" s="163">
        <f t="shared" ca="1" si="82"/>
        <v>34.646962233169127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กาฬสินธุ์!J433+ขอนแก่น!J433+ชัยภูมิ!J433+นครพนม!J433+นครราชสีมา!J433+บึงกาฬ!J433+บุรีรัมย์!J433+มหาสารคาม!J433+มุกดาหาร!J433+ยโสธร!J433+ร้อยเอ็ด!J433+เลย!J433+ศรีสะเกษ!J433+สกลนคร!J433+สุรินทร์!J433+หนองคาย!J433+หนองบัวลำภู!J433+อำนาจเจริญ!J433+อุดรธานี!J433+อุบลราชธานี!J433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กาฬสินธุ์!J434+ขอนแก่น!J434+ชัยภูมิ!J434+นครพนม!J434+นครราชสีมา!J434+บึงกาฬ!J434+บุรีรัมย์!J434+มหาสารคาม!J434+มุกดาหาร!J434+ยโสธร!J434+ร้อยเอ็ด!J434+เลย!J434+ศรีสะเกษ!J434+สกลนคร!J434+สุรินทร์!J434+หนองคาย!J434+หนองบัวลำภู!J434+อำนาจเจริญ!J434+อุดรธานี!J434+อุบลราชธานี!J434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กาฬสินธุ์!I435+ขอนแก่น!I435+ชัยภูมิ!I435+นครพนม!I435+นครราชสีมา!I435+บึงกาฬ!I435+บุรีรัมย์!I435+มหาสารคาม!I435+มุกดาหาร!I435+ยโสธร!I435+ร้อยเอ็ด!I435+เลย!I435+ศรีสะเกษ!I435+สกลนคร!I435+สุรินทร์!I435+หนองคาย!I435+หนองบัวลำภู!I435+อำนาจเจริญ!I435+อุดรธานี!I435+อุบลราชธานี!I435</f>
        <v>551</v>
      </c>
      <c r="J435" s="410">
        <f ca="1">กาฬสินธุ์!J435+ขอนแก่น!J435+ชัยภูมิ!J435+นครพนม!J435+นครราชสีมา!J435+บึงกาฬ!J435+บุรีรัมย์!J435+มหาสารคาม!J435+มุกดาหาร!J435+ยโสธร!J435+ร้อยเอ็ด!J435+เลย!J435+ศรีสะเกษ!J435+สกลนคร!J435+สุรินทร์!J435+หนองคาย!J435+หนองบัวลำภู!J435+อำนาจเจริญ!J435+อุดรธานี!J435+อุบลราชธานี!J435</f>
        <v>471</v>
      </c>
      <c r="K435" s="411">
        <f ca="1">IF(I435&gt;0,J435*100/I435,0)</f>
        <v>85.48094373865699</v>
      </c>
      <c r="L435" s="412">
        <f ca="1">กาฬสินธุ์!L435+ขอนแก่น!L435+ชัยภูมิ!L435+นครพนม!L435+นครราชสีมา!L435+บึงกาฬ!L435+บุรีรัมย์!L435+มหาสารคาม!L435+มุกดาหาร!L435+ยโสธร!L435+ร้อยเอ็ด!L435+เลย!L435+ศรีสะเกษ!L435+สกลนคร!L435+สุรินทร์!L435+หนองคาย!L435+หนองบัวลำภู!L435+อำนาจเจริญ!L435+อุดรธานี!L435+อุบลราชธานี!L435</f>
        <v>2432000</v>
      </c>
      <c r="M435" s="412"/>
      <c r="N435" s="412">
        <f ca="1">กาฬสินธุ์!N435+ขอนแก่น!N435+ชัยภูมิ!N435+นครพนม!N435+นครราชสีมา!N435+บึงกาฬ!N435+บุรีรัมย์!N435+มหาสารคาม!N435+มุกดาหาร!N435+ยโสธร!N435+ร้อยเอ็ด!N435+เลย!N435+ศรีสะเกษ!N435+สกลนคร!N435+สุรินทร์!N435+หนองคาย!N435+หนองบัวลำภู!N435+อำนาจเจริญ!N435+อุดรธานี!N435+อุบลราชธานี!N435</f>
        <v>1587725.0799999998</v>
      </c>
      <c r="O435" s="412">
        <f t="shared" ref="O435:O439" ca="1" si="83">+IF(L435&gt;0,N435*100/L435,0)</f>
        <v>65.284748355263147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กาฬสินธุ์!L436+ขอนแก่น!L436+ชัยภูมิ!L436+นครพนม!L436+นครราชสีมา!L436+บึงกาฬ!L436+บุรีรัมย์!L436+มหาสารคาม!L436+มุกดาหาร!L436+ยโสธร!L436+ร้อยเอ็ด!L436+เลย!L436+ศรีสะเกษ!L436+สกลนคร!L436+สุรินทร์!L436+หนองคาย!L436+หนองบัวลำภู!L436+อำนาจเจริญ!L436+อุดรธานี!L436+อุบลราชธานี!L436</f>
        <v>0</v>
      </c>
      <c r="M436" s="164"/>
      <c r="N436" s="169">
        <f ca="1">กาฬสินธุ์!N436+ขอนแก่น!N436+ชัยภูมิ!N436+นครพนม!N436+นครราชสีมา!N436+บึงกาฬ!N436+บุรีรัมย์!N436+มหาสารคาม!N436+มุกดาหาร!N436+ยโสธร!N436+ร้อยเอ็ด!N436+เลย!N436+ศรีสะเกษ!N436+สกลนคร!N436+สุรินทร์!N436+หนองคาย!N436+หนองบัวลำภู!N436+อำนาจเจริญ!N436+อุดรธานี!N436+อุบลราชธานี!N436</f>
        <v>0</v>
      </c>
      <c r="O436" s="169">
        <f t="shared" ca="1" si="83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กาฬสินธุ์!L437+ขอนแก่น!L437+ชัยภูมิ!L437+นครพนม!L437+นครราชสีมา!L437+บึงกาฬ!L437+บุรีรัมย์!L437+มหาสารคาม!L437+มุกดาหาร!L437+ยโสธร!L437+ร้อยเอ็ด!L437+เลย!L437+ศรีสะเกษ!L437+สกลนคร!L437+สุรินทร์!L437+หนองคาย!L437+หนองบัวลำภู!L437+อำนาจเจริญ!L437+อุดรธานี!L437+อุบลราชธานี!L437</f>
        <v>2432000</v>
      </c>
      <c r="M437" s="165"/>
      <c r="N437" s="169">
        <f ca="1">กาฬสินธุ์!N437+ขอนแก่น!N437+ชัยภูมิ!N437+นครพนม!N437+นครราชสีมา!N437+บึงกาฬ!N437+บุรีรัมย์!N437+มหาสารคาม!N437+มุกดาหาร!N437+ยโสธร!N437+ร้อยเอ็ด!N437+เลย!N437+ศรีสะเกษ!N437+สกลนคร!N437+สุรินทร์!N437+หนองคาย!N437+หนองบัวลำภู!N437+อำนาจเจริญ!N437+อุดรธานี!N437+อุบลราชธานี!N437</f>
        <v>1587725.0799999998</v>
      </c>
      <c r="O437" s="169">
        <f t="shared" ca="1" si="83"/>
        <v>65.284748355263147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กาฬสินธุ์!L438+ขอนแก่น!L438+ชัยภูมิ!L438+นครพนม!L438+นครราชสีมา!L438+บึงกาฬ!L438+บุรีรัมย์!L438+มหาสารคาม!L438+มุกดาหาร!L438+ยโสธร!L438+ร้อยเอ็ด!L438+เลย!L438+ศรีสะเกษ!L438+สกลนคร!L438+สุรินทร์!L438+หนองคาย!L438+หนองบัวลำภู!L438+อำนาจเจริญ!L438+อุดรธานี!L438+อุบลราชธานี!L438</f>
        <v>0</v>
      </c>
      <c r="M438" s="169"/>
      <c r="N438" s="169">
        <f ca="1">กาฬสินธุ์!N438+ขอนแก่น!N438+ชัยภูมิ!N438+นครพนม!N438+นครราชสีมา!N438+บึงกาฬ!N438+บุรีรัมย์!N438+มหาสารคาม!N438+มุกดาหาร!N438+ยโสธร!N438+ร้อยเอ็ด!N438+เลย!N438+ศรีสะเกษ!N438+สกลนคร!N438+สุรินทร์!N438+หนองคาย!N438+หนองบัวลำภู!N438+อำนาจเจริญ!N438+อุดรธานี!N438+อุบลราชธานี!N438</f>
        <v>0</v>
      </c>
      <c r="O438" s="169">
        <f t="shared" ca="1" si="83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กาฬสินธุ์!L439+ขอนแก่น!L439+ชัยภูมิ!L439+นครพนม!L439+นครราชสีมา!L439+บึงกาฬ!L439+บุรีรัมย์!L439+มหาสารคาม!L439+มุกดาหาร!L439+ยโสธร!L439+ร้อยเอ็ด!L439+เลย!L439+ศรีสะเกษ!L439+สกลนคร!L439+สุรินทร์!L439+หนองคาย!L439+หนองบัวลำภู!L439+อำนาจเจริญ!L439+อุดรธานี!L439+อุบลราชธานี!L439</f>
        <v>2432000</v>
      </c>
      <c r="M439" s="169"/>
      <c r="N439" s="169">
        <f ca="1">กาฬสินธุ์!N439+ขอนแก่น!N439+ชัยภูมิ!N439+นครพนม!N439+นครราชสีมา!N439+บึงกาฬ!N439+บุรีรัมย์!N439+มหาสารคาม!N439+มุกดาหาร!N439+ยโสธร!N439+ร้อยเอ็ด!N439+เลย!N439+ศรีสะเกษ!N439+สกลนคร!N439+สุรินทร์!N439+หนองคาย!N439+หนองบัวลำภู!N439+อำนาจเจริญ!N439+อุดรธานี!N439+อุบลราชธานี!N439</f>
        <v>1587725.0799999998</v>
      </c>
      <c r="O439" s="169">
        <f t="shared" ca="1" si="83"/>
        <v>65.284748355263147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กาฬสินธุ์!N440+ขอนแก่น!N440+ชัยภูมิ!N440+นครพนม!N440+นครราชสีมา!N440+บึงกาฬ!N440+บุรีรัมย์!N440+มหาสารคาม!N440+มุกดาหาร!N440+ยโสธร!N440+ร้อยเอ็ด!N440+เลย!N440+ศรีสะเกษ!N440+สกลนคร!N440+สุรินทร์!N440+หนองคาย!N440+หนองบัวลำภู!N440+อำนาจเจริญ!N440+อุดรธานี!N440+อุบลราชธานี!N440</f>
        <v>1048534.25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กาฬสินธุ์!N441+ขอนแก่น!N441+ชัยภูมิ!N441+นครพนม!N441+นครราชสีมา!N441+บึงกาฬ!N441+บุรีรัมย์!N441+มหาสารคาม!N441+มุกดาหาร!N441+ยโสธร!N441+ร้อยเอ็ด!N441+เลย!N441+ศรีสะเกษ!N441+สกลนคร!N441+สุรินทร์!N441+หนองคาย!N441+หนองบัวลำภู!N441+อำนาจเจริญ!N441+อุดรธานี!N441+อุบลราชธานี!N441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กาฬสินธุ์!N442+ขอนแก่น!N442+ชัยภูมิ!N442+นครพนม!N442+นครราชสีมา!N442+บึงกาฬ!N442+บุรีรัมย์!N442+มหาสารคาม!N442+มุกดาหาร!N442+ยโสธร!N442+ร้อยเอ็ด!N442+เลย!N442+ศรีสะเกษ!N442+สกลนคร!N442+สุรินทร์!N442+หนองคาย!N442+หนองบัวลำภู!N442+อำนาจเจริญ!N442+อุดรธานี!N442+อุบลราชธานี!N442</f>
        <v>15410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กาฬสินธุ์!N443+ขอนแก่น!N443+ชัยภูมิ!N443+นครพนม!N443+นครราชสีมา!N443+บึงกาฬ!N443+บุรีรัมย์!N443+มหาสารคาม!N443+มุกดาหาร!N443+ยโสธร!N443+ร้อยเอ็ด!N443+เลย!N443+ศรีสะเกษ!N443+สกลนคร!N443+สุรินทร์!N443+หนองคาย!N443+หนองบัวลำภู!N443+อำนาจเจริญ!N443+อุดรธานี!N443+อุบลราชธานี!N443</f>
        <v>523780.83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กาฬสินธุ์!J445+ขอนแก่น!J445+ชัยภูมิ!J445+นครพนม!J445+นครราชสีมา!J445+บึงกาฬ!J445+บุรีรัมย์!J445+มหาสารคาม!J445+มุกดาหาร!J445+ยโสธร!J445+ร้อยเอ็ด!J445+เลย!J445+ศรีสะเกษ!J445+สกลนคร!J445+สุรินทร์!J445+หนองคาย!J445+หนองบัวลำภู!J445+อำนาจเจริญ!J445+อุดรธานี!J445+อุบลราชธานี!J445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กาฬสินธุ์!J446+ขอนแก่น!J446+ชัยภูมิ!J446+นครพนม!J446+นครราชสีมา!J446+บึงกาฬ!J446+บุรีรัมย์!J446+มหาสารคาม!J446+มุกดาหาร!J446+ยโสธร!J446+ร้อยเอ็ด!J446+เลย!J446+ศรีสะเกษ!J446+สกลนคร!J446+สุรินทร์!J446+หนองคาย!J446+หนองบัวลำภู!J446+อำนาจเจริญ!J446+อุดรธานี!J446+อุบลราชธานี!J446</f>
        <v>19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กาฬสินธุ์!J447+ขอนแก่น!J447+ชัยภูมิ!J447+นครพนม!J447+นครราชสีมา!J447+บึงกาฬ!J447+บุรีรัมย์!J447+มหาสารคาม!J447+มุกดาหาร!J447+ยโสธร!J447+ร้อยเอ็ด!J447+เลย!J447+ศรีสะเกษ!J447+สกลนคร!J447+สุรินทร์!J447+หนองคาย!J447+หนองบัวลำภู!J447+อำนาจเจริญ!J447+อุดรธานี!J447+อุบลราชธานี!J447</f>
        <v>18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กาฬสินธุ์!J448+ขอนแก่น!J448+ชัยภูมิ!J448+นครพนม!J448+นครราชสีมา!J448+บึงกาฬ!J448+บุรีรัมย์!J448+มหาสารคาม!J448+มุกดาหาร!J448+ยโสธร!J448+ร้อยเอ็ด!J448+เลย!J448+ศรีสะเกษ!J448+สกลนคร!J448+สุรินทร์!J448+หนองคาย!J448+หนองบัวลำภู!J448+อำนาจเจริญ!J448+อุดรธานี!J448+อุบลราชธานี!J448</f>
        <v>12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กาฬสินธุ์!I449+ขอนแก่น!I449+ชัยภูมิ!I449+นครพนม!I449+นครราชสีมา!I449+บึงกาฬ!I449+บุรีรัมย์!I449+มหาสารคาม!I449+มุกดาหาร!I449+ยโสธร!I449+ร้อยเอ็ด!I449+เลย!I449+ศรีสะเกษ!I449+สกลนคร!I449+สุรินทร์!I449+หนองคาย!I449+หนองบัวลำภู!I449+อำนาจเจริญ!I449+อุดรธานี!I449+อุบลราชธานี!I449</f>
        <v>551</v>
      </c>
      <c r="J449" s="201">
        <f ca="1">กาฬสินธุ์!J449+ขอนแก่น!J449+ชัยภูมิ!J449+นครพนม!J449+นครราชสีมา!J449+บึงกาฬ!J449+บุรีรัมย์!J449+มหาสารคาม!J449+มุกดาหาร!J449+ยโสธร!J449+ร้อยเอ็ด!J449+เลย!J449+ศรีสะเกษ!J449+สกลนคร!J449+สุรินทร์!J449+หนองคาย!J449+หนองบัวลำภู!J449+อำนาจเจริญ!J449+อุดรธานี!J449+อุบลราชธานี!J449</f>
        <v>471</v>
      </c>
      <c r="K449" s="163">
        <f t="shared" ref="K449:K452" ca="1" si="84">IF(I449&gt;0,J449*100/I449,0)</f>
        <v>85.48094373865699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กาฬสินธุ์!I450+ขอนแก่น!I450+ชัยภูมิ!I450+นครพนม!I450+นครราชสีมา!I450+บึงกาฬ!I450+บุรีรัมย์!I450+มหาสารคาม!I450+มุกดาหาร!I450+ยโสธร!I450+ร้อยเอ็ด!I450+เลย!I450+ศรีสะเกษ!I450+สกลนคร!I450+สุรินทร์!I450+หนองคาย!I450+หนองบัวลำภู!I450+อำนาจเจริญ!I450+อุดรธานี!I450+อุบลราชธานี!I450</f>
        <v>476</v>
      </c>
      <c r="J450" s="189">
        <f ca="1">กาฬสินธุ์!J450+ขอนแก่น!J450+ชัยภูมิ!J450+นครพนม!J450+นครราชสีมา!J450+บึงกาฬ!J450+บุรีรัมย์!J450+มหาสารคาม!J450+มุกดาหาร!J450+ยโสธร!J450+ร้อยเอ็ด!J450+เลย!J450+ศรีสะเกษ!J450+สกลนคร!J450+สุรินทร์!J450+หนองคาย!J450+หนองบัวลำภู!J450+อำนาจเจริญ!J450+อุดรธานี!J450+อุบลราชธานี!J450</f>
        <v>396</v>
      </c>
      <c r="K450" s="163">
        <f t="shared" ca="1" si="84"/>
        <v>83.193277310924373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กาฬสินธุ์!I451+ขอนแก่น!I451+ชัยภูมิ!I451+นครพนม!I451+นครราชสีมา!I451+บึงกาฬ!I451+บุรีรัมย์!I451+มหาสารคาม!I451+มุกดาหาร!I451+ยโสธร!I451+ร้อยเอ็ด!I451+เลย!I451+ศรีสะเกษ!I451+สกลนคร!I451+สุรินทร์!I451+หนองคาย!I451+หนองบัวลำภู!I451+อำนาจเจริญ!I451+อุดรธานี!I451+อุบลราชธานี!I451</f>
        <v>75</v>
      </c>
      <c r="J451" s="188">
        <f ca="1">กาฬสินธุ์!J451+ขอนแก่น!J451+ชัยภูมิ!J451+นครพนม!J451+นครราชสีมา!J451+บึงกาฬ!J451+บุรีรัมย์!J451+มหาสารคาม!J451+มุกดาหาร!J451+ยโสธร!J451+ร้อยเอ็ด!J451+เลย!J451+ศรีสะเกษ!J451+สกลนคร!J451+สุรินทร์!J451+หนองคาย!J451+หนองบัวลำภู!J451+อำนาจเจริญ!J451+อุดรธานี!J451+อุบลราชธานี!J451</f>
        <v>75</v>
      </c>
      <c r="K451" s="163">
        <f t="shared" ca="1" si="84"/>
        <v>100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กาฬสินธุ์!I452+ขอนแก่น!I452+ชัยภูมิ!I452+นครพนม!I452+นครราชสีมา!I452+บึงกาฬ!I452+บุรีรัมย์!I452+มหาสารคาม!I452+มุกดาหาร!I452+ยโสธร!I452+ร้อยเอ็ด!I452+เลย!I452+ศรีสะเกษ!I452+สกลนคร!I452+สุรินทร์!I452+หนองคาย!I452+หนองบัวลำภู!I452+อำนาจเจริญ!I452+อุดรธานี!I452+อุบลราชธานี!I452</f>
        <v>0</v>
      </c>
      <c r="J452" s="188">
        <f ca="1">กาฬสินธุ์!J452+ขอนแก่น!J452+ชัยภูมิ!J452+นครพนม!J452+นครราชสีมา!J452+บึงกาฬ!J452+บุรีรัมย์!J452+มหาสารคาม!J452+มุกดาหาร!J452+ยโสธร!J452+ร้อยเอ็ด!J452+เลย!J452+ศรีสะเกษ!J452+สกลนคร!J452+สุรินทร์!J452+หนองคาย!J452+หนองบัวลำภู!J452+อำนาจเจริญ!J452+อุดรธานี!J452+อุบลราชธานี!J452</f>
        <v>0</v>
      </c>
      <c r="K452" s="163">
        <f t="shared" ca="1" si="84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กาฬสินธุ์!J453+ขอนแก่น!J453+ชัยภูมิ!J453+นครพนม!J453+นครราชสีมา!J453+บึงกาฬ!J453+บุรีรัมย์!J453+มหาสารคาม!J453+มุกดาหาร!J453+ยโสธร!J453+ร้อยเอ็ด!J453+เลย!J453+ศรีสะเกษ!J453+สกลนคร!J453+สุรินทร์!J453+หนองคาย!J453+หนองบัวลำภู!J453+อำนาจเจริญ!J453+อุดรธานี!J453+อุบลราชธานี!J453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กาฬสินธุ์!J454+ขอนแก่น!J454+ชัยภูมิ!J454+นครพนม!J454+นครราชสีมา!J454+บึงกาฬ!J454+บุรีรัมย์!J454+มหาสารคาม!J454+มุกดาหาร!J454+ยโสธร!J454+ร้อยเอ็ด!J454+เลย!J454+ศรีสะเกษ!J454+สกลนคร!J454+สุรินทร์!J454+หนองคาย!J454+หนองบัวลำภู!J454+อำนาจเจริญ!J454+อุดรธานี!J454+อุบลราชธานี!J454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กาฬสินธุ์!I455+ขอนแก่น!I455+ชัยภูมิ!I455+นครพนม!I455+นครราชสีมา!I455+บึงกาฬ!I455+บุรีรัมย์!I455+มหาสารคาม!I455+มุกดาหาร!I455+ยโสธร!I455+ร้อยเอ็ด!I455+เลย!I455+ศรีสะเกษ!I455+สกลนคร!I455+สุรินทร์!I455+หนองคาย!I455+หนองบัวลำภู!I455+อำนาจเจริญ!I455+อุดรธานี!I455+อุบลราชธานี!I455</f>
        <v>854990</v>
      </c>
      <c r="J455" s="371">
        <f ca="1">กาฬสินธุ์!J455+ขอนแก่น!J455+ชัยภูมิ!J455+นครพนม!J455+นครราชสีมา!J455+บึงกาฬ!J455+บุรีรัมย์!J455+มหาสารคาม!J455+มุกดาหาร!J455+ยโสธร!J455+ร้อยเอ็ด!J455+เลย!J455+ศรีสะเกษ!J455+สกลนคร!J455+สุรินทร์!J455+หนองคาย!J455+หนองบัวลำภู!J455+อำนาจเจริญ!J455+อุดรธานี!J455+อุบลราชธานี!J455</f>
        <v>469604.40749999991</v>
      </c>
      <c r="K455" s="372">
        <f ca="1">IF(I455&gt;0,J455*100/I455,0)</f>
        <v>54.925134504497123</v>
      </c>
      <c r="L455" s="373">
        <f ca="1">กาฬสินธุ์!L455+ขอนแก่น!L455+ชัยภูมิ!L455+นครพนม!L455+นครราชสีมา!L455+บึงกาฬ!L455+บุรีรัมย์!L455+มหาสารคาม!L455+มุกดาหาร!L455+ยโสธร!L455+ร้อยเอ็ด!L455+เลย!L455+ศรีสะเกษ!L455+สกลนคร!L455+สุรินทร์!L455+หนองคาย!L455+หนองบัวลำภู!L455+อำนาจเจริญ!L455+อุดรธานี!L455+อุบลราชธานี!L455</f>
        <v>10836169</v>
      </c>
      <c r="M455" s="373"/>
      <c r="N455" s="373">
        <f ca="1">กาฬสินธุ์!N455+ขอนแก่น!N455+ชัยภูมิ!N455+นครพนม!N455+นครราชสีมา!N455+บึงกาฬ!N455+บุรีรัมย์!N455+มหาสารคาม!N455+มุกดาหาร!N455+ยโสธร!N455+ร้อยเอ็ด!N455+เลย!N455+ศรีสะเกษ!N455+สกลนคร!N455+สุรินทร์!N455+หนองคาย!N455+หนองบัวลำภู!N455+อำนาจเจริญ!N455+อุดรธานี!N455+อุบลราชธานี!N455</f>
        <v>2542275.69</v>
      </c>
      <c r="O455" s="373">
        <f t="shared" ref="O455:O459" ca="1" si="85">+IF(L455&gt;0,N455*100/L455,0)</f>
        <v>23.461019203373443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กาฬสินธุ์!L456+ขอนแก่น!L456+ชัยภูมิ!L456+นครพนม!L456+นครราชสีมา!L456+บึงกาฬ!L456+บุรีรัมย์!L456+มหาสารคาม!L456+มุกดาหาร!L456+ยโสธร!L456+ร้อยเอ็ด!L456+เลย!L456+ศรีสะเกษ!L456+สกลนคร!L456+สุรินทร์!L456+หนองคาย!L456+หนองบัวลำภู!L456+อำนาจเจริญ!L456+อุดรธานี!L456+อุบลราชธานี!L456</f>
        <v>0</v>
      </c>
      <c r="M456" s="164"/>
      <c r="N456" s="169">
        <f ca="1">กาฬสินธุ์!N456+ขอนแก่น!N456+ชัยภูมิ!N456+นครพนม!N456+นครราชสีมา!N456+บึงกาฬ!N456+บุรีรัมย์!N456+มหาสารคาม!N456+มุกดาหาร!N456+ยโสธร!N456+ร้อยเอ็ด!N456+เลย!N456+ศรีสะเกษ!N456+สกลนคร!N456+สุรินทร์!N456+หนองคาย!N456+หนองบัวลำภู!N456+อำนาจเจริญ!N456+อุดรธานี!N456+อุบลราชธานี!N456</f>
        <v>0</v>
      </c>
      <c r="O456" s="169">
        <f t="shared" ca="1" si="85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กาฬสินธุ์!L457+ขอนแก่น!L457+ชัยภูมิ!L457+นครพนม!L457+นครราชสีมา!L457+บึงกาฬ!L457+บุรีรัมย์!L457+มหาสารคาม!L457+มุกดาหาร!L457+ยโสธร!L457+ร้อยเอ็ด!L457+เลย!L457+ศรีสะเกษ!L457+สกลนคร!L457+สุรินทร์!L457+หนองคาย!L457+หนองบัวลำภู!L457+อำนาจเจริญ!L457+อุดรธานี!L457+อุบลราชธานี!L457</f>
        <v>10836169</v>
      </c>
      <c r="M457" s="165"/>
      <c r="N457" s="169">
        <f ca="1">กาฬสินธุ์!N457+ขอนแก่น!N457+ชัยภูมิ!N457+นครพนม!N457+นครราชสีมา!N457+บึงกาฬ!N457+บุรีรัมย์!N457+มหาสารคาม!N457+มุกดาหาร!N457+ยโสธร!N457+ร้อยเอ็ด!N457+เลย!N457+ศรีสะเกษ!N457+สกลนคร!N457+สุรินทร์!N457+หนองคาย!N457+หนองบัวลำภู!N457+อำนาจเจริญ!N457+อุดรธานี!N457+อุบลราชธานี!N457</f>
        <v>2542275.69</v>
      </c>
      <c r="O457" s="169">
        <f t="shared" ca="1" si="85"/>
        <v>23.461019203373443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กาฬสินธุ์!L458+ขอนแก่น!L458+ชัยภูมิ!L458+นครพนม!L458+นครราชสีมา!L458+บึงกาฬ!L458+บุรีรัมย์!L458+มหาสารคาม!L458+มุกดาหาร!L458+ยโสธร!L458+ร้อยเอ็ด!L458+เลย!L458+ศรีสะเกษ!L458+สกลนคร!L458+สุรินทร์!L458+หนองคาย!L458+หนองบัวลำภู!L458+อำนาจเจริญ!L458+อุดรธานี!L458+อุบลราชธานี!L458</f>
        <v>0</v>
      </c>
      <c r="M458" s="169"/>
      <c r="N458" s="169">
        <f ca="1">กาฬสินธุ์!N458+ขอนแก่น!N458+ชัยภูมิ!N458+นครพนม!N458+นครราชสีมา!N458+บึงกาฬ!N458+บุรีรัมย์!N458+มหาสารคาม!N458+มุกดาหาร!N458+ยโสธร!N458+ร้อยเอ็ด!N458+เลย!N458+ศรีสะเกษ!N458+สกลนคร!N458+สุรินทร์!N458+หนองคาย!N458+หนองบัวลำภู!N458+อำนาจเจริญ!N458+อุดรธานี!N458+อุบลราชธานี!N458</f>
        <v>0</v>
      </c>
      <c r="O458" s="169">
        <f t="shared" ca="1" si="85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กาฬสินธุ์!L459+ขอนแก่น!L459+ชัยภูมิ!L459+นครพนม!L459+นครราชสีมา!L459+บึงกาฬ!L459+บุรีรัมย์!L459+มหาสารคาม!L459+มุกดาหาร!L459+ยโสธร!L459+ร้อยเอ็ด!L459+เลย!L459+ศรีสะเกษ!L459+สกลนคร!L459+สุรินทร์!L459+หนองคาย!L459+หนองบัวลำภู!L459+อำนาจเจริญ!L459+อุดรธานี!L459+อุบลราชธานี!L459</f>
        <v>10836169</v>
      </c>
      <c r="M459" s="169"/>
      <c r="N459" s="169">
        <f ca="1">กาฬสินธุ์!N459+ขอนแก่น!N459+ชัยภูมิ!N459+นครพนม!N459+นครราชสีมา!N459+บึงกาฬ!N459+บุรีรัมย์!N459+มหาสารคาม!N459+มุกดาหาร!N459+ยโสธร!N459+ร้อยเอ็ด!N459+เลย!N459+ศรีสะเกษ!N459+สกลนคร!N459+สุรินทร์!N459+หนองคาย!N459+หนองบัวลำภู!N459+อำนาจเจริญ!N459+อุดรธานี!N459+อุบลราชธานี!N459</f>
        <v>2542275.69</v>
      </c>
      <c r="O459" s="169">
        <f t="shared" ca="1" si="85"/>
        <v>23.461019203373443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กาฬสินธุ์!N460+ขอนแก่น!N460+ชัยภูมิ!N460+นครพนม!N460+นครราชสีมา!N460+บึงกาฬ!N460+บุรีรัมย์!N460+มหาสารคาม!N460+มุกดาหาร!N460+ยโสธร!N460+ร้อยเอ็ด!N460+เลย!N460+ศรีสะเกษ!N460+สกลนคร!N460+สุรินทร์!N460+หนองคาย!N460+หนองบัวลำภู!N460+อำนาจเจริญ!N460+อุดรธานี!N460+อุบลราชธานี!N460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กาฬสินธุ์!N461+ขอนแก่น!N461+ชัยภูมิ!N461+นครพนม!N461+นครราชสีมา!N461+บึงกาฬ!N461+บุรีรัมย์!N461+มหาสารคาม!N461+มุกดาหาร!N461+ยโสธร!N461+ร้อยเอ็ด!N461+เลย!N461+ศรีสะเกษ!N461+สกลนคร!N461+สุรินทร์!N461+หนองคาย!N461+หนองบัวลำภู!N461+อำนาจเจริญ!N461+อุดรธานี!N461+อุบลราชธานี!N461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กาฬสินธุ์!N462+ขอนแก่น!N462+ชัยภูมิ!N462+นครพนม!N462+นครราชสีมา!N462+บึงกาฬ!N462+บุรีรัมย์!N462+มหาสารคาม!N462+มุกดาหาร!N462+ยโสธร!N462+ร้อยเอ็ด!N462+เลย!N462+ศรีสะเกษ!N462+สกลนคร!N462+สุรินทร์!N462+หนองคาย!N462+หนองบัวลำภู!N462+อำนาจเจริญ!N462+อุดรธานี!N462+อุบลราชธานี!N462</f>
        <v>763817.04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กาฬสินธุ์!N463+ขอนแก่น!N463+ชัยภูมิ!N463+นครพนม!N463+นครราชสีมา!N463+บึงกาฬ!N463+บุรีรัมย์!N463+มหาสารคาม!N463+มุกดาหาร!N463+ยโสธร!N463+ร้อยเอ็ด!N463+เลย!N463+ศรีสะเกษ!N463+สกลนคร!N463+สุรินทร์!N463+หนองคาย!N463+หนองบัวลำภู!N463+อำนาจเจริญ!N463+อุดรธานี!N463+อุบลราชธานี!N463</f>
        <v>1778458.6500000001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กาฬสินธุ์!I464+ขอนแก่น!I464+ชัยภูมิ!I464+นครพนม!I464+นครราชสีมา!I464+บึงกาฬ!I464+บุรีรัมย์!I464+มหาสารคาม!I464+มุกดาหาร!I464+ยโสธร!I464+ร้อยเอ็ด!I464+เลย!I464+ศรีสะเกษ!I464+สกลนคร!I464+สุรินทร์!I464+หนองคาย!I464+หนองบัวลำภู!I464+อำนาจเจริญ!I464+อุดรธานี!I464+อุบลราชธานี!I464</f>
        <v>854990</v>
      </c>
      <c r="J464" s="267">
        <f ca="1">กาฬสินธุ์!J464+ขอนแก่น!J464+ชัยภูมิ!J464+นครพนม!J464+นครราชสีมา!J464+บึงกาฬ!J464+บุรีรัมย์!J464+มหาสารคาม!J464+มุกดาหาร!J464+ยโสธร!J464+ร้อยเอ็ด!J464+เลย!J464+ศรีสะเกษ!J464+สกลนคร!J464+สุรินทร์!J464+หนองคาย!J464+หนองบัวลำภู!J464+อำนาจเจริญ!J464+อุดรธานี!J464+อุบลราชธานี!J464</f>
        <v>469604.40749999991</v>
      </c>
      <c r="K464" s="268">
        <f t="shared" ref="K464:K515" ca="1" si="86">IF(I464&gt;0,J464*100/I464,0)</f>
        <v>54.925134504497123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กาฬสินธุ์!I465+ขอนแก่น!I465+ชัยภูมิ!I465+นครพนม!I465+นครราชสีมา!I465+บึงกาฬ!I465+บุรีรัมย์!I465+มหาสารคาม!I465+มุกดาหาร!I465+ยโสธร!I465+ร้อยเอ็ด!I465+เลย!I465+ศรีสะเกษ!I465+สกลนคร!I465+สุรินทร์!I465+หนองคาย!I465+หนองบัวลำภู!I465+อำนาจเจริญ!I465+อุดรธานี!I465+อุบลราชธานี!I465</f>
        <v>854990</v>
      </c>
      <c r="J465" s="420">
        <f ca="1">กาฬสินธุ์!J465+ขอนแก่น!J465+ชัยภูมิ!J465+นครพนม!J465+นครราชสีมา!J465+บึงกาฬ!J465+บุรีรัมย์!J465+มหาสารคาม!J465+มุกดาหาร!J465+ยโสธร!J465+ร้อยเอ็ด!J465+เลย!J465+ศรีสะเกษ!J465+สกลนคร!J465+สุรินทร์!J465+หนองคาย!J465+หนองบัวลำภู!J465+อำนาจเจริญ!J465+อุดรธานี!J465+อุบลราชธานี!J465</f>
        <v>857538.8339999998</v>
      </c>
      <c r="K465" s="202">
        <f t="shared" ca="1" si="86"/>
        <v>100.29811272646461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กาฬสินธุ์!I466+ขอนแก่น!I466+ชัยภูมิ!I466+นครพนม!I466+นครราชสีมา!I466+บึงกาฬ!I466+บุรีรัมย์!I466+มหาสารคาม!I466+มุกดาหาร!I466+ยโสธร!I466+ร้อยเอ็ด!I466+เลย!I466+ศรีสะเกษ!I466+สกลนคร!I466+สุรินทร์!I466+หนองคาย!I466+หนองบัวลำภู!I466+อำนาจเจริญ!I466+อุดรธานี!I466+อุบลราชธานี!I466</f>
        <v>102853</v>
      </c>
      <c r="J466" s="420">
        <f ca="1">กาฬสินธุ์!J466+ขอนแก่น!J466+ชัยภูมิ!J466+นครพนม!J466+นครราชสีมา!J466+บึงกาฬ!J466+บุรีรัมย์!J466+มหาสารคาม!J466+มุกดาหาร!J466+ยโสธร!J466+ร้อยเอ็ด!J466+เลย!J466+ศรีสะเกษ!J466+สกลนคร!J466+สุรินทร์!J466+หนองคาย!J466+หนองบัวลำภู!J466+อำนาจเจริญ!J466+อุดรธานี!J466+อุบลราชธานี!J466</f>
        <v>102854</v>
      </c>
      <c r="K466" s="202">
        <f t="shared" ca="1" si="86"/>
        <v>100.00097226138276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กาฬสินธุ์!I467+ขอนแก่น!I467+ชัยภูมิ!I467+นครพนม!I467+นครราชสีมา!I467+บึงกาฬ!I467+บุรีรัมย์!I467+มหาสารคาม!I467+มุกดาหาร!I467+ยโสธร!I467+ร้อยเอ็ด!I467+เลย!I467+ศรีสะเกษ!I467+สกลนคร!I467+สุรินทร์!I467+หนองคาย!I467+หนองบัวลำภู!I467+อำนาจเจริญ!I467+อุดรธานี!I467+อุบลราชธานี!I467</f>
        <v>0</v>
      </c>
      <c r="J467" s="189">
        <f ca="1">กาฬสินธุ์!J467+ขอนแก่น!J467+ชัยภูมิ!J467+นครพนม!J467+นครราชสีมา!J467+บึงกาฬ!J467+บุรีรัมย์!J467+มหาสารคาม!J467+มุกดาหาร!J467+ยโสธร!J467+ร้อยเอ็ด!J467+เลย!J467+ศรีสะเกษ!J467+สกลนคร!J467+สุรินทร์!J467+หนองคาย!J467+หนองบัวลำภู!J467+อำนาจเจริญ!J467+อุดรธานี!J467+อุบลราชธานี!J467</f>
        <v>694650.39350000001</v>
      </c>
      <c r="K467" s="163">
        <f t="shared" ca="1" si="86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กาฬสินธุ์!I468+ขอนแก่น!I468+ชัยภูมิ!I468+นครพนม!I468+นครราชสีมา!I468+บึงกาฬ!I468+บุรีรัมย์!I468+มหาสารคาม!I468+มุกดาหาร!I468+ยโสธร!I468+ร้อยเอ็ด!I468+เลย!I468+ศรีสะเกษ!I468+สกลนคร!I468+สุรินทร์!I468+หนองคาย!I468+หนองบัวลำภู!I468+อำนาจเจริญ!I468+อุดรธานี!I468+อุบลราชธานี!I468</f>
        <v>0</v>
      </c>
      <c r="J468" s="189">
        <f ca="1">กาฬสินธุ์!J468+ขอนแก่น!J468+ชัยภูมิ!J468+นครพนม!J468+นครราชสีมา!J468+บึงกาฬ!J468+บุรีรัมย์!J468+มหาสารคาม!J468+มุกดาหาร!J468+ยโสธร!J468+ร้อยเอ็ด!J468+เลย!J468+ศรีสะเกษ!J468+สกลนคร!J468+สุรินทร์!J468+หนองคาย!J468+หนองบัวลำภู!J468+อำนาจเจริญ!J468+อุดรธานี!J468+อุบลราชธานี!J468</f>
        <v>86479</v>
      </c>
      <c r="K468" s="163">
        <f t="shared" ca="1" si="86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กาฬสินธุ์!I469+ขอนแก่น!I469+ชัยภูมิ!I469+นครพนม!I469+นครราชสีมา!I469+บึงกาฬ!I469+บุรีรัมย์!I469+มหาสารคาม!I469+มุกดาหาร!I469+ยโสธร!I469+ร้อยเอ็ด!I469+เลย!I469+ศรีสะเกษ!I469+สกลนคร!I469+สุรินทร์!I469+หนองคาย!I469+หนองบัวลำภู!I469+อำนาจเจริญ!I469+อุดรธานี!I469+อุบลราชธานี!I469</f>
        <v>0</v>
      </c>
      <c r="J469" s="189">
        <f ca="1">กาฬสินธุ์!J469+ขอนแก่น!J469+ชัยภูมิ!J469+นครพนม!J469+นครราชสีมา!J469+บึงกาฬ!J469+บุรีรัมย์!J469+มหาสารคาม!J469+มุกดาหาร!J469+ยโสธร!J469+ร้อยเอ็ด!J469+เลย!J469+ศรีสะเกษ!J469+สกลนคร!J469+สุรินทร์!J469+หนองคาย!J469+หนองบัวลำภู!J469+อำนาจเจริญ!J469+อุดรธานี!J469+อุบลราชธานี!J469</f>
        <v>137890.5025</v>
      </c>
      <c r="K469" s="163">
        <f t="shared" ca="1" si="86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กาฬสินธุ์!I470+ขอนแก่น!I470+ชัยภูมิ!I470+นครพนม!I470+นครราชสีมา!I470+บึงกาฬ!I470+บุรีรัมย์!I470+มหาสารคาม!I470+มุกดาหาร!I470+ยโสธร!I470+ร้อยเอ็ด!I470+เลย!I470+ศรีสะเกษ!I470+สกลนคร!I470+สุรินทร์!I470+หนองคาย!I470+หนองบัวลำภู!I470+อำนาจเจริญ!I470+อุดรธานี!I470+อุบลราชธานี!I470</f>
        <v>0</v>
      </c>
      <c r="J470" s="189">
        <f ca="1">กาฬสินธุ์!J470+ขอนแก่น!J470+ชัยภูมิ!J470+นครพนม!J470+นครราชสีมา!J470+บึงกาฬ!J470+บุรีรัมย์!J470+มหาสารคาม!J470+มุกดาหาร!J470+ยโสธร!J470+ร้อยเอ็ด!J470+เลย!J470+ศรีสะเกษ!J470+สกลนคร!J470+สุรินทร์!J470+หนองคาย!J470+หนองบัวลำภู!J470+อำนาจเจริญ!J470+อุดรธานี!J470+อุบลราชธานี!J470</f>
        <v>13851</v>
      </c>
      <c r="K470" s="163">
        <f t="shared" ca="1" si="86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กาฬสินธุ์!I471+ขอนแก่น!I471+ชัยภูมิ!I471+นครพนม!I471+นครราชสีมา!I471+บึงกาฬ!I471+บุรีรัมย์!I471+มหาสารคาม!I471+มุกดาหาร!I471+ยโสธร!I471+ร้อยเอ็ด!I471+เลย!I471+ศรีสะเกษ!I471+สกลนคร!I471+สุรินทร์!I471+หนองคาย!I471+หนองบัวลำภู!I471+อำนาจเจริญ!I471+อุดรธานี!I471+อุบลราชธานี!I471</f>
        <v>0</v>
      </c>
      <c r="J471" s="189">
        <f ca="1">กาฬสินธุ์!J471+ขอนแก่น!J471+ชัยภูมิ!J471+นครพนม!J471+นครราชสีมา!J471+บึงกาฬ!J471+บุรีรัมย์!J471+มหาสารคาม!J471+มุกดาหาร!J471+ยโสธร!J471+ร้อยเอ็ด!J471+เลย!J471+ศรีสะเกษ!J471+สกลนคร!J471+สุรินทร์!J471+หนองคาย!J471+หนองบัวลำภู!J471+อำนาจเจริญ!J471+อุดรธานี!J471+อุบลราชธานี!J471</f>
        <v>24997.937999999998</v>
      </c>
      <c r="K471" s="163">
        <f t="shared" ca="1" si="86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กาฬสินธุ์!I472+ขอนแก่น!I472+ชัยภูมิ!I472+นครพนม!I472+นครราชสีมา!I472+บึงกาฬ!I472+บุรีรัมย์!I472+มหาสารคาม!I472+มุกดาหาร!I472+ยโสธร!I472+ร้อยเอ็ด!I472+เลย!I472+ศรีสะเกษ!I472+สกลนคร!I472+สุรินทร์!I472+หนองคาย!I472+หนองบัวลำภู!I472+อำนาจเจริญ!I472+อุดรธานี!I472+อุบลราชธานี!I472</f>
        <v>0</v>
      </c>
      <c r="J472" s="189">
        <f ca="1">กาฬสินธุ์!J472+ขอนแก่น!J472+ชัยภูมิ!J472+นครพนม!J472+นครราชสีมา!J472+บึงกาฬ!J472+บุรีรัมย์!J472+มหาสารคาม!J472+มุกดาหาร!J472+ยโสธร!J472+ร้อยเอ็ด!J472+เลย!J472+ศรีสะเกษ!J472+สกลนคร!J472+สุรินทร์!J472+หนองคาย!J472+หนองบัวลำภู!J472+อำนาจเจริญ!J472+อุดรธานี!J472+อุบลราชธานี!J472</f>
        <v>2524</v>
      </c>
      <c r="K472" s="163">
        <f t="shared" ca="1" si="86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กาฬสินธุ์!I473+ขอนแก่น!I473+ชัยภูมิ!I473+นครพนม!I473+นครราชสีมา!I473+บึงกาฬ!I473+บุรีรัมย์!I473+มหาสารคาม!I473+มุกดาหาร!I473+ยโสธร!I473+ร้อยเอ็ด!I473+เลย!I473+ศรีสะเกษ!I473+สกลนคร!I473+สุรินทร์!I473+หนองคาย!I473+หนองบัวลำภู!I473+อำนาจเจริญ!I473+อุดรธานี!I473+อุบลราชธานี!I473</f>
        <v>854990</v>
      </c>
      <c r="J473" s="420">
        <f ca="1">กาฬสินธุ์!J473+ขอนแก่น!J473+ชัยภูมิ!J473+นครพนม!J473+นครราชสีมา!J473+บึงกาฬ!J473+บุรีรัมย์!J473+มหาสารคาม!J473+มุกดาหาร!J473+ยโสธร!J473+ร้อยเอ็ด!J473+เลย!J473+ศรีสะเกษ!J473+สกลนคร!J473+สุรินทร์!J473+หนองคาย!J473+หนองบัวลำภู!J473+อำนาจเจริญ!J473+อุดรธานี!J473+อุบลราชธานี!J473</f>
        <v>839100.89750000008</v>
      </c>
      <c r="K473" s="202">
        <f t="shared" ca="1" si="86"/>
        <v>98.141603702967302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กาฬสินธุ์!I474+ขอนแก่น!I474+ชัยภูมิ!I474+นครพนม!I474+นครราชสีมา!I474+บึงกาฬ!I474+บุรีรัมย์!I474+มหาสารคาม!I474+มุกดาหาร!I474+ยโสธร!I474+ร้อยเอ็ด!I474+เลย!I474+ศรีสะเกษ!I474+สกลนคร!I474+สุรินทร์!I474+หนองคาย!I474+หนองบัวลำภู!I474+อำนาจเจริญ!I474+อุดรธานี!I474+อุบลราชธานี!I474</f>
        <v>102853</v>
      </c>
      <c r="J474" s="420">
        <f ca="1">กาฬสินธุ์!J474+ขอนแก่น!J474+ชัยภูมิ!J474+นครพนม!J474+นครราชสีมา!J474+บึงกาฬ!J474+บุรีรัมย์!J474+มหาสารคาม!J474+มุกดาหาร!J474+ยโสธร!J474+ร้อยเอ็ด!J474+เลย!J474+ศรีสะเกษ!J474+สกลนคร!J474+สุรินทร์!J474+หนองคาย!J474+หนองบัวลำภู!J474+อำนาจเจริญ!J474+อุดรธานี!J474+อุบลราชธานี!J474</f>
        <v>99940</v>
      </c>
      <c r="K474" s="202">
        <f t="shared" ca="1" si="86"/>
        <v>97.167802592048844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กาฬสินธุ์!I475+ขอนแก่น!I475+ชัยภูมิ!I475+นครพนม!I475+นครราชสีมา!I475+บึงกาฬ!I475+บุรีรัมย์!I475+มหาสารคาม!I475+มุกดาหาร!I475+ยโสธร!I475+ร้อยเอ็ด!I475+เลย!I475+ศรีสะเกษ!I475+สกลนคร!I475+สุรินทร์!I475+หนองคาย!I475+หนองบัวลำภู!I475+อำนาจเจริญ!I475+อุดรธานี!I475+อุบลราชธานี!I475</f>
        <v>0</v>
      </c>
      <c r="J475" s="189">
        <f ca="1">กาฬสินธุ์!J475+ขอนแก่น!J475+ชัยภูมิ!J475+นครพนม!J475+นครราชสีมา!J475+บึงกาฬ!J475+บุรีรัมย์!J475+มหาสารคาม!J475+มุกดาหาร!J475+ยโสธร!J475+ร้อยเอ็ด!J475+เลย!J475+ศรีสะเกษ!J475+สกลนคร!J475+สุรินทร์!J475+หนองคาย!J475+หนองบัวลำภู!J475+อำนาจเจริญ!J475+อุดรธานี!J475+อุบลราชธานี!J475</f>
        <v>702435.78999999992</v>
      </c>
      <c r="K475" s="163">
        <f t="shared" ca="1" si="86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กาฬสินธุ์!I476+ขอนแก่น!I476+ชัยภูมิ!I476+นครพนม!I476+นครราชสีมา!I476+บึงกาฬ!I476+บุรีรัมย์!I476+มหาสารคาม!I476+มุกดาหาร!I476+ยโสธร!I476+ร้อยเอ็ด!I476+เลย!I476+ศรีสะเกษ!I476+สกลนคร!I476+สุรินทร์!I476+หนองคาย!I476+หนองบัวลำภู!I476+อำนาจเจริญ!I476+อุดรธานี!I476+อุบลราชธานี!I476</f>
        <v>0</v>
      </c>
      <c r="J476" s="189">
        <f ca="1">กาฬสินธุ์!J476+ขอนแก่น!J476+ชัยภูมิ!J476+นครพนม!J476+นครราชสีมา!J476+บึงกาฬ!J476+บุรีรัมย์!J476+มหาสารคาม!J476+มุกดาหาร!J476+ยโสธร!J476+ร้อยเอ็ด!J476+เลย!J476+ศรีสะเกษ!J476+สกลนคร!J476+สุรินทร์!J476+หนองคาย!J476+หนองบัวลำภู!J476+อำนาจเจริญ!J476+อุดรธานี!J476+อุบลราชธานี!J476</f>
        <v>86389</v>
      </c>
      <c r="K476" s="163">
        <f t="shared" ca="1" si="86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กาฬสินธุ์!I477+ขอนแก่น!I477+ชัยภูมิ!I477+นครพนม!I477+นครราชสีมา!I477+บึงกาฬ!I477+บุรีรัมย์!I477+มหาสารคาม!I477+มุกดาหาร!I477+ยโสธร!I477+ร้อยเอ็ด!I477+เลย!I477+ศรีสะเกษ!I477+สกลนคร!I477+สุรินทร์!I477+หนองคาย!I477+หนองบัวลำภู!I477+อำนาจเจริญ!I477+อุดรธานี!I477+อุบลราชธานี!I477</f>
        <v>0</v>
      </c>
      <c r="J477" s="189">
        <f ca="1">กาฬสินธุ์!J477+ขอนแก่น!J477+ชัยภูมิ!J477+นครพนม!J477+นครราชสีมา!J477+บึงกาฬ!J477+บุรีรัมย์!J477+มหาสารคาม!J477+มุกดาหาร!J477+ยโสธร!J477+ร้อยเอ็ด!J477+เลย!J477+ศรีสะเกษ!J477+สกลนคร!J477+สุรินทร์!J477+หนองคาย!J477+หนองบัวลำภู!J477+อำนาจเจริญ!J477+อุดรธานี!J477+อุบลราชธานี!J477</f>
        <v>112712.85250000001</v>
      </c>
      <c r="K477" s="163">
        <f t="shared" ca="1" si="86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กาฬสินธุ์!I478+ขอนแก่น!I478+ชัยภูมิ!I478+นครพนม!I478+นครราชสีมา!I478+บึงกาฬ!I478+บุรีรัมย์!I478+มหาสารคาม!I478+มุกดาหาร!I478+ยโสธร!I478+ร้อยเอ็ด!I478+เลย!I478+ศรีสะเกษ!I478+สกลนคร!I478+สุรินทร์!I478+หนองคาย!I478+หนองบัวลำภู!I478+อำนาจเจริญ!I478+อุดรธานี!I478+อุบลราชธานี!I478</f>
        <v>0</v>
      </c>
      <c r="J478" s="189">
        <f ca="1">กาฬสินธุ์!J478+ขอนแก่น!J478+ชัยภูมิ!J478+นครพนม!J478+นครราชสีมา!J478+บึงกาฬ!J478+บุรีรัมย์!J478+มหาสารคาม!J478+มุกดาหาร!J478+ยโสธร!J478+ร้อยเอ็ด!J478+เลย!J478+ศรีสะเกษ!J478+สกลนคร!J478+สุรินทร์!J478+หนองคาย!J478+หนองบัวลำภู!J478+อำนาจเจริญ!J478+อุดรธานี!J478+อุบลราชธานี!J478</f>
        <v>11131</v>
      </c>
      <c r="K478" s="163">
        <f t="shared" ca="1" si="86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กาฬสินธุ์!I479+ขอนแก่น!I479+ชัยภูมิ!I479+นครพนม!I479+นครราชสีมา!I479+บึงกาฬ!I479+บุรีรัมย์!I479+มหาสารคาม!I479+มุกดาหาร!I479+ยโสธร!I479+ร้อยเอ็ด!I479+เลย!I479+ศรีสะเกษ!I479+สกลนคร!I479+สุรินทร์!I479+หนองคาย!I479+หนองบัวลำภู!I479+อำนาจเจริญ!I479+อุดรธานี!I479+อุบลราชธานี!I479</f>
        <v>0</v>
      </c>
      <c r="J479" s="189">
        <f ca="1">กาฬสินธุ์!J479+ขอนแก่น!J479+ชัยภูมิ!J479+นครพนม!J479+นครราชสีมา!J479+บึงกาฬ!J479+บุรีรัมย์!J479+มหาสารคาม!J479+มุกดาหาร!J479+ยโสธร!J479+ร้อยเอ็ด!J479+เลย!J479+ศรีสะเกษ!J479+สกลนคร!J479+สุรินทร์!J479+หนองคาย!J479+หนองบัวลำภู!J479+อำนาจเจริญ!J479+อุดรธานี!J479+อุบลราชธานี!J479</f>
        <v>23952.254999999997</v>
      </c>
      <c r="K479" s="163">
        <f t="shared" ca="1" si="86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กาฬสินธุ์!I480+ขอนแก่น!I480+ชัยภูมิ!I480+นครพนม!I480+นครราชสีมา!I480+บึงกาฬ!I480+บุรีรัมย์!I480+มหาสารคาม!I480+มุกดาหาร!I480+ยโสธร!I480+ร้อยเอ็ด!I480+เลย!I480+ศรีสะเกษ!I480+สกลนคร!I480+สุรินทร์!I480+หนองคาย!I480+หนองบัวลำภู!I480+อำนาจเจริญ!I480+อุดรธานี!I480+อุบลราชธานี!I480</f>
        <v>0</v>
      </c>
      <c r="J480" s="189">
        <f ca="1">กาฬสินธุ์!J480+ขอนแก่น!J480+ชัยภูมิ!J480+นครพนม!J480+นครราชสีมา!J480+บึงกาฬ!J480+บุรีรัมย์!J480+มหาสารคาม!J480+มุกดาหาร!J480+ยโสธร!J480+ร้อยเอ็ด!J480+เลย!J480+ศรีสะเกษ!J480+สกลนคร!J480+สุรินทร์!J480+หนองคาย!J480+หนองบัวลำภู!J480+อำนาจเจริญ!J480+อุดรธานี!J480+อุบลราชธานี!J480</f>
        <v>2420</v>
      </c>
      <c r="K480" s="163">
        <f t="shared" ca="1" si="86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กาฬสินธุ์!I481+ขอนแก่น!I481+ชัยภูมิ!I481+นครพนม!I481+นครราชสีมา!I481+บึงกาฬ!I481+บุรีรัมย์!I481+มหาสารคาม!I481+มุกดาหาร!I481+ยโสธร!I481+ร้อยเอ็ด!I481+เลย!I481+ศรีสะเกษ!I481+สกลนคร!I481+สุรินทร์!I481+หนองคาย!I481+หนองบัวลำภู!I481+อำนาจเจริญ!I481+อุดรธานี!I481+อุบลราชธานี!I481</f>
        <v>854990</v>
      </c>
      <c r="J481" s="420">
        <f ca="1">กาฬสินธุ์!J481+ขอนแก่น!J481+ชัยภูมิ!J481+นครพนม!J481+นครราชสีมา!J481+บึงกาฬ!J481+บุรีรัมย์!J481+มหาสารคาม!J481+มุกดาหาร!J481+ยโสธร!J481+ร้อยเอ็ด!J481+เลย!J481+ศรีสะเกษ!J481+สกลนคร!J481+สุรินทร์!J481+หนองคาย!J481+หนองบัวลำภู!J481+อำนาจเจริญ!J481+อุดรธานี!J481+อุบลราชธานี!J481</f>
        <v>469604.40749999991</v>
      </c>
      <c r="K481" s="202">
        <f t="shared" ca="1" si="86"/>
        <v>54.925134504497123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กาฬสินธุ์!I482+ขอนแก่น!I482+ชัยภูมิ!I482+นครพนม!I482+นครราชสีมา!I482+บึงกาฬ!I482+บุรีรัมย์!I482+มหาสารคาม!I482+มุกดาหาร!I482+ยโสธร!I482+ร้อยเอ็ด!I482+เลย!I482+ศรีสะเกษ!I482+สกลนคร!I482+สุรินทร์!I482+หนองคาย!I482+หนองบัวลำภู!I482+อำนาจเจริญ!I482+อุดรธานี!I482+อุบลราชธานี!I482</f>
        <v>102853</v>
      </c>
      <c r="J482" s="420">
        <f ca="1">กาฬสินธุ์!J482+ขอนแก่น!J482+ชัยภูมิ!J482+นครพนม!J482+นครราชสีมา!J482+บึงกาฬ!J482+บุรีรัมย์!J482+มหาสารคาม!J482+มุกดาหาร!J482+ยโสธร!J482+ร้อยเอ็ด!J482+เลย!J482+ศรีสะเกษ!J482+สกลนคร!J482+สุรินทร์!J482+หนองคาย!J482+หนองบัวลำภู!J482+อำนาจเจริญ!J482+อุดรธานี!J482+อุบลราชธานี!J482</f>
        <v>56118</v>
      </c>
      <c r="K482" s="202">
        <f t="shared" ca="1" si="86"/>
        <v>54.561364277172274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กาฬสินธุ์!I483+ขอนแก่น!I483+ชัยภูมิ!I483+นครพนม!I483+นครราชสีมา!I483+บึงกาฬ!I483+บุรีรัมย์!I483+มหาสารคาม!I483+มุกดาหาร!I483+ยโสธร!I483+ร้อยเอ็ด!I483+เลย!I483+ศรีสะเกษ!I483+สกลนคร!I483+สุรินทร์!I483+หนองคาย!I483+หนองบัวลำภู!I483+อำนาจเจริญ!I483+อุดรธานี!I483+อุบลราชธานี!I483</f>
        <v>0</v>
      </c>
      <c r="J483" s="189">
        <f ca="1">กาฬสินธุ์!J483+ขอนแก่น!J483+ชัยภูมิ!J483+นครพนม!J483+นครราชสีมา!J483+บึงกาฬ!J483+บุรีรัมย์!J483+มหาสารคาม!J483+มุกดาหาร!J483+ยโสธร!J483+ร้อยเอ็ด!J483+เลย!J483+ศรีสะเกษ!J483+สกลนคร!J483+สุรินทร์!J483+หนองคาย!J483+หนองบัวลำภู!J483+อำนาจเจริญ!J483+อุดรธานี!J483+อุบลราชธานี!J483</f>
        <v>408316.82500000001</v>
      </c>
      <c r="K483" s="163">
        <f t="shared" ca="1" si="86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กาฬสินธุ์!I484+ขอนแก่น!I484+ชัยภูมิ!I484+นครพนม!I484+นครราชสีมา!I484+บึงกาฬ!I484+บุรีรัมย์!I484+มหาสารคาม!I484+มุกดาหาร!I484+ยโสธร!I484+ร้อยเอ็ด!I484+เลย!I484+ศรีสะเกษ!I484+สกลนคร!I484+สุรินทร์!I484+หนองคาย!I484+หนองบัวลำภู!I484+อำนาจเจริญ!I484+อุดรธานี!I484+อุบลราชธานี!I484</f>
        <v>0</v>
      </c>
      <c r="J484" s="189">
        <f ca="1">กาฬสินธุ์!J484+ขอนแก่น!J484+ชัยภูมิ!J484+นครพนม!J484+นครราชสีมา!J484+บึงกาฬ!J484+บุรีรัมย์!J484+มหาสารคาม!J484+มุกดาหาร!J484+ยโสธร!J484+ร้อยเอ็ด!J484+เลย!J484+ศรีสะเกษ!J484+สกลนคร!J484+สุรินทร์!J484+หนองคาย!J484+หนองบัวลำภู!J484+อำนาจเจริญ!J484+อุดรธานี!J484+อุบลราชธานี!J484</f>
        <v>49525</v>
      </c>
      <c r="K484" s="163">
        <f t="shared" ca="1" si="86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กาฬสินธุ์!I485+ขอนแก่น!I485+ชัยภูมิ!I485+นครพนม!I485+นครราชสีมา!I485+บึงกาฬ!I485+บุรีรัมย์!I485+มหาสารคาม!I485+มุกดาหาร!I485+ยโสธร!I485+ร้อยเอ็ด!I485+เลย!I485+ศรีสะเกษ!I485+สกลนคร!I485+สุรินทร์!I485+หนองคาย!I485+หนองบัวลำภู!I485+อำนาจเจริญ!I485+อุดรธานี!I485+อุบลราชธานี!I485</f>
        <v>0</v>
      </c>
      <c r="J485" s="189">
        <f ca="1">กาฬสินธุ์!J485+ขอนแก่น!J485+ชัยภูมิ!J485+นครพนม!J485+นครราชสีมา!J485+บึงกาฬ!J485+บุรีรัมย์!J485+มหาสารคาม!J485+มุกดาหาร!J485+ยโสธร!J485+ร้อยเอ็ด!J485+เลย!J485+ศรีสะเกษ!J485+สกลนคร!J485+สุรินทร์!J485+หนองคาย!J485+หนองบัวลำภู!J485+อำนาจเจริญ!J485+อุดรธานี!J485+อุบลราชธานี!J485</f>
        <v>51489.462500000001</v>
      </c>
      <c r="K485" s="163">
        <f t="shared" ca="1" si="86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กาฬสินธุ์!I486+ขอนแก่น!I486+ชัยภูมิ!I486+นครพนม!I486+นครราชสีมา!I486+บึงกาฬ!I486+บุรีรัมย์!I486+มหาสารคาม!I486+มุกดาหาร!I486+ยโสธร!I486+ร้อยเอ็ด!I486+เลย!I486+ศรีสะเกษ!I486+สกลนคร!I486+สุรินทร์!I486+หนองคาย!I486+หนองบัวลำภู!I486+อำนาจเจริญ!I486+อุดรธานี!I486+อุบลราชธานี!I486</f>
        <v>0</v>
      </c>
      <c r="J486" s="189">
        <f ca="1">กาฬสินธุ์!J486+ขอนแก่น!J486+ชัยภูมิ!J486+นครพนม!J486+นครราชสีมา!J486+บึงกาฬ!J486+บุรีรัมย์!J486+มหาสารคาม!J486+มุกดาหาร!J486+ยโสธร!J486+ร้อยเอ็ด!J486+เลย!J486+ศรีสะเกษ!J486+สกลนคร!J486+สุรินทร์!J486+หนองคาย!J486+หนองบัวลำภู!J486+อำนาจเจริญ!J486+อุดรธานี!J486+อุบลราชธานี!J486</f>
        <v>5523</v>
      </c>
      <c r="K486" s="163">
        <f t="shared" ca="1" si="86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กาฬสินธุ์!I487+ขอนแก่น!I487+ชัยภูมิ!I487+นครพนม!I487+นครราชสีมา!I487+บึงกาฬ!I487+บุรีรัมย์!I487+มหาสารคาม!I487+มุกดาหาร!I487+ยโสธร!I487+ร้อยเอ็ด!I487+เลย!I487+ศรีสะเกษ!I487+สกลนคร!I487+สุรินทร์!I487+หนองคาย!I487+หนองบัวลำภู!I487+อำนาจเจริญ!I487+อุดรธานี!I487+อุบลราชธานี!I487</f>
        <v>0</v>
      </c>
      <c r="J487" s="420">
        <f ca="1">กาฬสินธุ์!J487+ขอนแก่น!J487+ชัยภูมิ!J487+นครพนม!J487+นครราชสีมา!J487+บึงกาฬ!J487+บุรีรัมย์!J487+มหาสารคาม!J487+มุกดาหาร!J487+ยโสธร!J487+ร้อยเอ็ด!J487+เลย!J487+ศรีสะเกษ!J487+สกลนคร!J487+สุรินทร์!J487+หนองคาย!J487+หนองบัวลำภู!J487+อำนาจเจริญ!J487+อุดรธานี!J487+อุบลราชธานี!J487</f>
        <v>9798.1200000000008</v>
      </c>
      <c r="K487" s="163">
        <f t="shared" ca="1" si="86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กาฬสินธุ์!I488+ขอนแก่น!I488+ชัยภูมิ!I488+นครพนม!I488+นครราชสีมา!I488+บึงกาฬ!I488+บุรีรัมย์!I488+มหาสารคาม!I488+มุกดาหาร!I488+ยโสธร!I488+ร้อยเอ็ด!I488+เลย!I488+ศรีสะเกษ!I488+สกลนคร!I488+สุรินทร์!I488+หนองคาย!I488+หนองบัวลำภู!I488+อำนาจเจริญ!I488+อุดรธานี!I488+อุบลราชธานี!I488</f>
        <v>0</v>
      </c>
      <c r="J488" s="420">
        <f ca="1">กาฬสินธุ์!J488+ขอนแก่น!J488+ชัยภูมิ!J488+นครพนม!J488+นครราชสีมา!J488+บึงกาฬ!J488+บุรีรัมย์!J488+มหาสารคาม!J488+มุกดาหาร!J488+ยโสธร!J488+ร้อยเอ็ด!J488+เลย!J488+ศรีสะเกษ!J488+สกลนคร!J488+สุรินทร์!J488+หนองคาย!J488+หนองบัวลำภู!J488+อำนาจเจริญ!J488+อุดรธานี!J488+อุบลราชธานี!J488</f>
        <v>1070</v>
      </c>
      <c r="K488" s="163">
        <f t="shared" ca="1" si="86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กาฬสินธุ์!I489+ขอนแก่น!I489+ชัยภูมิ!I489+นครพนม!I489+นครราชสีมา!I489+บึงกาฬ!I489+บุรีรัมย์!I489+มหาสารคาม!I489+มุกดาหาร!I489+ยโสธร!I489+ร้อยเอ็ด!I489+เลย!I489+ศรีสะเกษ!I489+สกลนคร!I489+สุรินทร์!I489+หนองคาย!I489+หนองบัวลำภู!I489+อำนาจเจริญ!I489+อุดรธานี!I489+อุบลราชธานี!I489</f>
        <v>0</v>
      </c>
      <c r="J489" s="189">
        <f ca="1">กาฬสินธุ์!J489+ขอนแก่น!J489+ชัยภูมิ!J489+นครพนม!J489+นครราชสีมา!J489+บึงกาฬ!J489+บุรีรัมย์!J489+มหาสารคาม!J489+มุกดาหาร!J489+ยโสธร!J489+ร้อยเอ็ด!J489+เลย!J489+ศรีสะเกษ!J489+สกลนคร!J489+สุรินทร์!J489+หนองคาย!J489+หนองบัวลำภู!J489+อำนาจเจริญ!J489+อุดรธานี!J489+อุบลราชธานี!J489</f>
        <v>9535.6625000000004</v>
      </c>
      <c r="K489" s="163">
        <f t="shared" ca="1" si="86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กาฬสินธุ์!I490+ขอนแก่น!I490+ชัยภูมิ!I490+นครพนม!I490+นครราชสีมา!I490+บึงกาฬ!I490+บุรีรัมย์!I490+มหาสารคาม!I490+มุกดาหาร!I490+ยโสธร!I490+ร้อยเอ็ด!I490+เลย!I490+ศรีสะเกษ!I490+สกลนคร!I490+สุรินทร์!I490+หนองคาย!I490+หนองบัวลำภู!I490+อำนาจเจริญ!I490+อุดรธานี!I490+อุบลราชธานี!I490</f>
        <v>0</v>
      </c>
      <c r="J490" s="189">
        <f ca="1">กาฬสินธุ์!J490+ขอนแก่น!J490+ชัยภูมิ!J490+นครพนม!J490+นครราชสีมา!J490+บึงกาฬ!J490+บุรีรัมย์!J490+มหาสารคาม!J490+มุกดาหาร!J490+ยโสธร!J490+ร้อยเอ็ด!J490+เลย!J490+ศรีสะเกษ!J490+สกลนคร!J490+สุรินทร์!J490+หนองคาย!J490+หนองบัวลำภู!J490+อำนาจเจริญ!J490+อุดรธานี!J490+อุบลราชธานี!J490</f>
        <v>1048</v>
      </c>
      <c r="K490" s="163">
        <f t="shared" ca="1" si="86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กาฬสินธุ์!I491+ขอนแก่น!I491+ชัยภูมิ!I491+นครพนม!I491+นครราชสีมา!I491+บึงกาฬ!I491+บุรีรัมย์!I491+มหาสารคาม!I491+มุกดาหาร!I491+ยโสธร!I491+ร้อยเอ็ด!I491+เลย!I491+ศรีสะเกษ!I491+สกลนคร!I491+สุรินทร์!I491+หนองคาย!I491+หนองบัวลำภู!I491+อำนาจเจริญ!I491+อุดรธานี!I491+อุบลราชธานี!I491</f>
        <v>0</v>
      </c>
      <c r="J491" s="189">
        <f ca="1">กาฬสินธุ์!J491+ขอนแก่น!J491+ชัยภูมิ!J491+นครพนม!J491+นครราชสีมา!J491+บึงกาฬ!J491+บุรีรัมย์!J491+มหาสารคาม!J491+มุกดาหาร!J491+ยโสธร!J491+ร้อยเอ็ด!J491+เลย!J491+ศรีสะเกษ!J491+สกลนคร!J491+สุรินทร์!J491+หนองคาย!J491+หนองบัวลำภู!J491+อำนาจเจริญ!J491+อุดรธานี!J491+อุบลราชธานี!J491</f>
        <v>262.45750000000004</v>
      </c>
      <c r="K491" s="163">
        <f t="shared" ca="1" si="86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กาฬสินธุ์!I492+ขอนแก่น!I492+ชัยภูมิ!I492+นครพนม!I492+นครราชสีมา!I492+บึงกาฬ!I492+บุรีรัมย์!I492+มหาสารคาม!I492+มุกดาหาร!I492+ยโสธร!I492+ร้อยเอ็ด!I492+เลย!I492+ศรีสะเกษ!I492+สกลนคร!I492+สุรินทร์!I492+หนองคาย!I492+หนองบัวลำภู!I492+อำนาจเจริญ!I492+อุดรธานี!I492+อุบลราชธานี!I492</f>
        <v>0</v>
      </c>
      <c r="J492" s="189">
        <f ca="1">กาฬสินธุ์!J492+ขอนแก่น!J492+ชัยภูมิ!J492+นครพนม!J492+นครราชสีมา!J492+บึงกาฬ!J492+บุรีรัมย์!J492+มหาสารคาม!J492+มุกดาหาร!J492+ยโสธร!J492+ร้อยเอ็ด!J492+เลย!J492+ศรีสะเกษ!J492+สกลนคร!J492+สุรินทร์!J492+หนองคาย!J492+หนองบัวลำภู!J492+อำนาจเจริญ!J492+อุดรธานี!J492+อุบลราชธานี!J492</f>
        <v>22</v>
      </c>
      <c r="K492" s="163">
        <f t="shared" ca="1" si="86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กาฬสินธุ์!I493+ขอนแก่น!I493+ชัยภูมิ!I493+นครพนม!I493+นครราชสีมา!I493+บึงกาฬ!I493+บุรีรัมย์!I493+มหาสารคาม!I493+มุกดาหาร!I493+ยโสธร!I493+ร้อยเอ็ด!I493+เลย!I493+ศรีสะเกษ!I493+สกลนคร!I493+สุรินทร์!I493+หนองคาย!I493+หนองบัวลำภู!I493+อำนาจเจริญ!I493+อุดรธานี!I493+อุบลราชธานี!I493</f>
        <v>0</v>
      </c>
      <c r="J493" s="189">
        <f ca="1">กาฬสินธุ์!J493+ขอนแก่น!J493+ชัยภูมิ!J493+นครพนม!J493+นครราชสีมา!J493+บึงกาฬ!J493+บุรีรัมย์!J493+มหาสารคาม!J493+มุกดาหาร!J493+ยโสธร!J493+ร้อยเอ็ด!J493+เลย!J493+ศรีสะเกษ!J493+สกลนคร!J493+สุรินทร์!J493+หนองคาย!J493+หนองบัวลำภู!J493+อำนาจเจริญ!J493+อุดรธานี!J493+อุบลราชธานี!J493</f>
        <v>0</v>
      </c>
      <c r="K493" s="163">
        <f t="shared" ca="1" si="86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กาฬสินธุ์!I494+ขอนแก่น!I494+ชัยภูมิ!I494+นครพนม!I494+นครราชสีมา!I494+บึงกาฬ!I494+บุรีรัมย์!I494+มหาสารคาม!I494+มุกดาหาร!I494+ยโสธร!I494+ร้อยเอ็ด!I494+เลย!I494+ศรีสะเกษ!I494+สกลนคร!I494+สุรินทร์!I494+หนองคาย!I494+หนองบัวลำภู!I494+อำนาจเจริญ!I494+อุดรธานี!I494+อุบลราชธานี!I494</f>
        <v>0</v>
      </c>
      <c r="J494" s="436">
        <f ca="1">กาฬสินธุ์!J494+ขอนแก่น!J494+ชัยภูมิ!J494+นครพนม!J494+นครราชสีมา!J494+บึงกาฬ!J494+บุรีรัมย์!J494+มหาสารคาม!J494+มุกดาหาร!J494+ยโสธร!J494+ร้อยเอ็ด!J494+เลย!J494+ศรีสะเกษ!J494+สกลนคร!J494+สุรินทร์!J494+หนองคาย!J494+หนองบัวลำภู!J494+อำนาจเจริญ!J494+อุดรธานี!J494+อุบลราชธานี!J494</f>
        <v>0</v>
      </c>
      <c r="K494" s="288">
        <f t="shared" ca="1" si="86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กาฬสินธุ์!I495+ขอนแก่น!I495+ชัยภูมิ!I495+นครพนม!I495+นครราชสีมา!I495+บึงกาฬ!I495+บุรีรัมย์!I495+มหาสารคาม!I495+มุกดาหาร!I495+ยโสธร!I495+ร้อยเอ็ด!I495+เลย!I495+ศรีสะเกษ!I495+สกลนคร!I495+สุรินทร์!I495+หนองคาย!I495+หนองบัวลำภู!I495+อำนาจเจริญ!I495+อุดรธานี!I495+อุบลราชธานี!I495</f>
        <v>0</v>
      </c>
      <c r="J495" s="436">
        <f ca="1">กาฬสินธุ์!J495+ขอนแก่น!J495+ชัยภูมิ!J495+นครพนม!J495+นครราชสีมา!J495+บึงกาฬ!J495+บุรีรัมย์!J495+มหาสารคาม!J495+มุกดาหาร!J495+ยโสธร!J495+ร้อยเอ็ด!J495+เลย!J495+ศรีสะเกษ!J495+สกลนคร!J495+สุรินทร์!J495+หนองคาย!J495+หนองบัวลำภู!J495+อำนาจเจริญ!J495+อุดรธานี!J495+อุบลราชธานี!J495</f>
        <v>0</v>
      </c>
      <c r="K495" s="163">
        <f t="shared" ca="1" si="86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กาฬสินธุ์!I496+ขอนแก่น!I496+ชัยภูมิ!I496+นครพนม!I496+นครราชสีมา!I496+บึงกาฬ!I496+บุรีรัมย์!I496+มหาสารคาม!I496+มุกดาหาร!I496+ยโสธร!I496+ร้อยเอ็ด!I496+เลย!I496+ศรีสะเกษ!I496+สกลนคร!I496+สุรินทร์!I496+หนองคาย!I496+หนองบัวลำภู!I496+อำนาจเจริญ!I496+อุดรธานี!I496+อุบลราชธานี!I496</f>
        <v>0</v>
      </c>
      <c r="J496" s="436">
        <f ca="1">กาฬสินธุ์!J496+ขอนแก่น!J496+ชัยภูมิ!J496+นครพนม!J496+นครราชสีมา!J496+บึงกาฬ!J496+บุรีรัมย์!J496+มหาสารคาม!J496+มุกดาหาร!J496+ยโสธร!J496+ร้อยเอ็ด!J496+เลย!J496+ศรีสะเกษ!J496+สกลนคร!J496+สุรินทร์!J496+หนองคาย!J496+หนองบัวลำภู!J496+อำนาจเจริญ!J496+อุดรธานี!J496+อุบลราชธานี!J496</f>
        <v>0</v>
      </c>
      <c r="K496" s="288">
        <f t="shared" ca="1" si="86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กาฬสินธุ์!I497+ขอนแก่น!I497+ชัยภูมิ!I497+นครพนม!I497+นครราชสีมา!I497+บึงกาฬ!I497+บุรีรัมย์!I497+มหาสารคาม!I497+มุกดาหาร!I497+ยโสธร!I497+ร้อยเอ็ด!I497+เลย!I497+ศรีสะเกษ!I497+สกลนคร!I497+สุรินทร์!I497+หนองคาย!I497+หนองบัวลำภู!I497+อำนาจเจริญ!I497+อุดรธานี!I497+อุบลราชธานี!I497</f>
        <v>98377</v>
      </c>
      <c r="J497" s="443">
        <f ca="1">กาฬสินธุ์!J497+ขอนแก่น!J497+ชัยภูมิ!J497+นครพนม!J497+นครราชสีมา!J497+บึงกาฬ!J497+บุรีรัมย์!J497+มหาสารคาม!J497+มุกดาหาร!J497+ยโสธร!J497+ร้อยเอ็ด!J497+เลย!J497+ศรีสะเกษ!J497+สกลนคร!J497+สุรินทร์!J497+หนองคาย!J497+หนองบัวลำภู!J497+อำนาจเจริญ!J497+อุดรธานี!J497+อุบลราชธานี!J497</f>
        <v>25673.077499999999</v>
      </c>
      <c r="K497" s="444">
        <f t="shared" ca="1" si="86"/>
        <v>26.096625735690253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กาฬสินธุ์!I498+ขอนแก่น!I498+ชัยภูมิ!I498+นครพนม!I498+นครราชสีมา!I498+บึงกาฬ!I498+บุรีรัมย์!I498+มหาสารคาม!I498+มุกดาหาร!I498+ยโสธร!I498+ร้อยเอ็ด!I498+เลย!I498+ศรีสะเกษ!I498+สกลนคร!I498+สุรินทร์!I498+หนองคาย!I498+หนองบัวลำภู!I498+อำนาจเจริญ!I498+อุดรธานี!I498+อุบลราชธานี!I498</f>
        <v>98190</v>
      </c>
      <c r="J498" s="420">
        <f ca="1">กาฬสินธุ์!J498+ขอนแก่น!J498+ชัยภูมิ!J498+นครพนม!J498+นครราชสีมา!J498+บึงกาฬ!J498+บุรีรัมย์!J498+มหาสารคาม!J498+มุกดาหาร!J498+ยโสธร!J498+ร้อยเอ็ด!J498+เลย!J498+ศรีสะเกษ!J498+สกลนคร!J498+สุรินทร์!J498+หนองคาย!J498+หนองบัวลำภู!J498+อำนาจเจริญ!J498+อุดรธานี!J498+อุบลราชธานี!J498</f>
        <v>25673.077499999999</v>
      </c>
      <c r="K498" s="202">
        <f t="shared" ca="1" si="86"/>
        <v>26.146326000611062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กาฬสินธุ์!I499+ขอนแก่น!I499+ชัยภูมิ!I499+นครพนม!I499+นครราชสีมา!I499+บึงกาฬ!I499+บุรีรัมย์!I499+มหาสารคาม!I499+มุกดาหาร!I499+ยโสธร!I499+ร้อยเอ็ด!I499+เลย!I499+ศรีสะเกษ!I499+สกลนคร!I499+สุรินทร์!I499+หนองคาย!I499+หนองบัวลำภู!I499+อำนาจเจริญ!I499+อุดรธานี!I499+อุบลราชธานี!I499</f>
        <v>10097</v>
      </c>
      <c r="J499" s="420">
        <f ca="1">กาฬสินธุ์!J499+ขอนแก่น!J499+ชัยภูมิ!J499+นครพนม!J499+นครราชสีมา!J499+บึงกาฬ!J499+บุรีรัมย์!J499+มหาสารคาม!J499+มุกดาหาร!J499+ยโสธร!J499+ร้อยเอ็ด!J499+เลย!J499+ศรีสะเกษ!J499+สกลนคร!J499+สุรินทร์!J499+หนองคาย!J499+หนองบัวลำภู!J499+อำนาจเจริญ!J499+อุดรธานี!J499+อุบลราชธานี!J499</f>
        <v>3054</v>
      </c>
      <c r="K499" s="202">
        <f t="shared" ca="1" si="86"/>
        <v>30.246607903337626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กาฬสินธุ์!I500+ขอนแก่น!I500+ชัยภูมิ!I500+นครพนม!I500+นครราชสีมา!I500+บึงกาฬ!I500+บุรีรัมย์!I500+มหาสารคาม!I500+มุกดาหาร!I500+ยโสธร!I500+ร้อยเอ็ด!I500+เลย!I500+ศรีสะเกษ!I500+สกลนคร!I500+สุรินทร์!I500+หนองคาย!I500+หนองบัวลำภู!I500+อำนาจเจริญ!I500+อุดรธานี!I500+อุบลราชธานี!I500</f>
        <v>0</v>
      </c>
      <c r="J500" s="162">
        <f ca="1">กาฬสินธุ์!J500+ขอนแก่น!J500+ชัยภูมิ!J500+นครพนม!J500+นครราชสีมา!J500+บึงกาฬ!J500+บุรีรัมย์!J500+มหาสารคาม!J500+มุกดาหาร!J500+ยโสธร!J500+ร้อยเอ็ด!J500+เลย!J500+ศรีสะเกษ!J500+สกลนคร!J500+สุรินทร์!J500+หนองคาย!J500+หนองบัวลำภู!J500+อำนาจเจริญ!J500+อุดรธานี!J500+อุบลราชธานี!J500</f>
        <v>22033.360000000001</v>
      </c>
      <c r="K500" s="163">
        <f t="shared" ca="1" si="86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กาฬสินธุ์!I501+ขอนแก่น!I501+ชัยภูมิ!I501+นครพนม!I501+นครราชสีมา!I501+บึงกาฬ!I501+บุรีรัมย์!I501+มหาสารคาม!I501+มุกดาหาร!I501+ยโสธร!I501+ร้อยเอ็ด!I501+เลย!I501+ศรีสะเกษ!I501+สกลนคร!I501+สุรินทร์!I501+หนองคาย!I501+หนองบัวลำภู!I501+อำนาจเจริญ!I501+อุดรธานี!I501+อุบลราชธานี!I501</f>
        <v>0</v>
      </c>
      <c r="J501" s="162">
        <f ca="1">กาฬสินธุ์!J501+ขอนแก่น!J501+ชัยภูมิ!J501+นครพนม!J501+นครราชสีมา!J501+บึงกาฬ!J501+บุรีรัมย์!J501+มหาสารคาม!J501+มุกดาหาร!J501+ยโสธร!J501+ร้อยเอ็ด!J501+เลย!J501+ศรีสะเกษ!J501+สกลนคร!J501+สุรินทร์!J501+หนองคาย!J501+หนองบัวลำภู!J501+อำนาจเจริญ!J501+อุดรธานี!J501+อุบลราชธานี!J501</f>
        <v>2468</v>
      </c>
      <c r="K501" s="163">
        <f t="shared" ca="1" si="86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กาฬสินธุ์!I502+ขอนแก่น!I502+ชัยภูมิ!I502+นครพนม!I502+นครราชสีมา!I502+บึงกาฬ!I502+บุรีรัมย์!I502+มหาสารคาม!I502+มุกดาหาร!I502+ยโสธร!I502+ร้อยเอ็ด!I502+เลย!I502+ศรีสะเกษ!I502+สกลนคร!I502+สุรินทร์!I502+หนองคาย!I502+หนองบัวลำภู!I502+อำนาจเจริญ!I502+อุดรธานี!I502+อุบลราชธานี!I502</f>
        <v>0</v>
      </c>
      <c r="J502" s="189">
        <f ca="1">กาฬสินธุ์!J502+ขอนแก่น!J502+ชัยภูมิ!J502+นครพนม!J502+นครราชสีมา!J502+บึงกาฬ!J502+บุรีรัมย์!J502+มหาสารคาม!J502+มุกดาหาร!J502+ยโสธร!J502+ร้อยเอ็ด!J502+เลย!J502+ศรีสะเกษ!J502+สกลนคร!J502+สุรินทร์!J502+หนองคาย!J502+หนองบัวลำภู!J502+อำนาจเจริญ!J502+อุดรธานี!J502+อุบลราชธานี!J502</f>
        <v>12322.98</v>
      </c>
      <c r="K502" s="163">
        <f t="shared" ca="1" si="86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กาฬสินธุ์!I503+ขอนแก่น!I503+ชัยภูมิ!I503+นครพนม!I503+นครราชสีมา!I503+บึงกาฬ!I503+บุรีรัมย์!I503+มหาสารคาม!I503+มุกดาหาร!I503+ยโสธร!I503+ร้อยเอ็ด!I503+เลย!I503+ศรีสะเกษ!I503+สกลนคร!I503+สุรินทร์!I503+หนองคาย!I503+หนองบัวลำภู!I503+อำนาจเจริญ!I503+อุดรธานี!I503+อุบลราชธานี!I503</f>
        <v>0</v>
      </c>
      <c r="J503" s="198">
        <f ca="1">กาฬสินธุ์!J503+ขอนแก่น!J503+ชัยภูมิ!J503+นครพนม!J503+นครราชสีมา!J503+บึงกาฬ!J503+บุรีรัมย์!J503+มหาสารคาม!J503+มุกดาหาร!J503+ยโสธร!J503+ร้อยเอ็ด!J503+เลย!J503+ศรีสะเกษ!J503+สกลนคร!J503+สุรินทร์!J503+หนองคาย!J503+หนองบัวลำภู!J503+อำนาจเจริญ!J503+อุดรธานี!J503+อุบลราชธานี!J503</f>
        <v>1559</v>
      </c>
      <c r="K503" s="163">
        <f t="shared" ca="1" si="86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กาฬสินธุ์!I504+ขอนแก่น!I504+ชัยภูมิ!I504+นครพนม!I504+นครราชสีมา!I504+บึงกาฬ!I504+บุรีรัมย์!I504+มหาสารคาม!I504+มุกดาหาร!I504+ยโสธร!I504+ร้อยเอ็ด!I504+เลย!I504+ศรีสะเกษ!I504+สกลนคร!I504+สุรินทร์!I504+หนองคาย!I504+หนองบัวลำภู!I504+อำนาจเจริญ!I504+อุดรธานี!I504+อุบลราชธานี!I504</f>
        <v>0</v>
      </c>
      <c r="J504" s="189">
        <f ca="1">กาฬสินธุ์!J504+ขอนแก่น!J504+ชัยภูมิ!J504+นครพนม!J504+นครราชสีมา!J504+บึงกาฬ!J504+บุรีรัมย์!J504+มหาสารคาม!J504+มุกดาหาร!J504+ยโสธร!J504+ร้อยเอ็ด!J504+เลย!J504+ศรีสะเกษ!J504+สกลนคร!J504+สุรินทร์!J504+หนองคาย!J504+หนองบัวลำภู!J504+อำนาจเจริญ!J504+อุดรธานี!J504+อุบลราชธานี!J504</f>
        <v>9710.380000000001</v>
      </c>
      <c r="K504" s="163">
        <f t="shared" ca="1" si="86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กาฬสินธุ์!I505+ขอนแก่น!I505+ชัยภูมิ!I505+นครพนม!I505+นครราชสีมา!I505+บึงกาฬ!I505+บุรีรัมย์!I505+มหาสารคาม!I505+มุกดาหาร!I505+ยโสธร!I505+ร้อยเอ็ด!I505+เลย!I505+ศรีสะเกษ!I505+สกลนคร!I505+สุรินทร์!I505+หนองคาย!I505+หนองบัวลำภู!I505+อำนาจเจริญ!I505+อุดรธานี!I505+อุบลราชธานี!I505</f>
        <v>0</v>
      </c>
      <c r="J505" s="198">
        <f ca="1">กาฬสินธุ์!J505+ขอนแก่น!J505+ชัยภูมิ!J505+นครพนม!J505+นครราชสีมา!J505+บึงกาฬ!J505+บุรีรัมย์!J505+มหาสารคาม!J505+มุกดาหาร!J505+ยโสธร!J505+ร้อยเอ็ด!J505+เลย!J505+ศรีสะเกษ!J505+สกลนคร!J505+สุรินทร์!J505+หนองคาย!J505+หนองบัวลำภู!J505+อำนาจเจริญ!J505+อุดรธานี!J505+อุบลราชธานี!J505</f>
        <v>909</v>
      </c>
      <c r="K505" s="163">
        <f t="shared" ca="1" si="86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กาฬสินธุ์!I506+ขอนแก่น!I506+ชัยภูมิ!I506+นครพนม!I506+นครราชสีมา!I506+บึงกาฬ!I506+บุรีรัมย์!I506+มหาสารคาม!I506+มุกดาหาร!I506+ยโสธร!I506+ร้อยเอ็ด!I506+เลย!I506+ศรีสะเกษ!I506+สกลนคร!I506+สุรินทร์!I506+หนองคาย!I506+หนองบัวลำภู!I506+อำนาจเจริญ!I506+อุดรธานี!I506+อุบลราชธานี!I506</f>
        <v>0</v>
      </c>
      <c r="J506" s="189">
        <f ca="1">กาฬสินธุ์!J506+ขอนแก่น!J506+ชัยภูมิ!J506+นครพนม!J506+นครราชสีมา!J506+บึงกาฬ!J506+บุรีรัมย์!J506+มหาสารคาม!J506+มุกดาหาร!J506+ยโสธร!J506+ร้อยเอ็ด!J506+เลย!J506+ศรีสะเกษ!J506+สกลนคร!J506+สุรินทร์!J506+หนองคาย!J506+หนองบัวลำภู!J506+อำนาจเจริญ!J506+อุดรธานี!J506+อุบลราชธานี!J506</f>
        <v>0</v>
      </c>
      <c r="K506" s="163">
        <f t="shared" ca="1" si="86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กาฬสินธุ์!I507+ขอนแก่น!I507+ชัยภูมิ!I507+นครพนม!I507+นครราชสีมา!I507+บึงกาฬ!I507+บุรีรัมย์!I507+มหาสารคาม!I507+มุกดาหาร!I507+ยโสธร!I507+ร้อยเอ็ด!I507+เลย!I507+ศรีสะเกษ!I507+สกลนคร!I507+สุรินทร์!I507+หนองคาย!I507+หนองบัวลำภู!I507+อำนาจเจริญ!I507+อุดรธานี!I507+อุบลราชธานี!I507</f>
        <v>0</v>
      </c>
      <c r="J507" s="198">
        <f ca="1">กาฬสินธุ์!J507+ขอนแก่น!J507+ชัยภูมิ!J507+นครพนม!J507+นครราชสีมา!J507+บึงกาฬ!J507+บุรีรัมย์!J507+มหาสารคาม!J507+มุกดาหาร!J507+ยโสธร!J507+ร้อยเอ็ด!J507+เลย!J507+ศรีสะเกษ!J507+สกลนคร!J507+สุรินทร์!J507+หนองคาย!J507+หนองบัวลำภู!J507+อำนาจเจริญ!J507+อุดรธานี!J507+อุบลราชธานี!J507</f>
        <v>0</v>
      </c>
      <c r="K507" s="163">
        <f t="shared" ca="1" si="86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กาฬสินธุ์!I508+ขอนแก่น!I508+ชัยภูมิ!I508+นครพนม!I508+นครราชสีมา!I508+บึงกาฬ!I508+บุรีรัมย์!I508+มหาสารคาม!I508+มุกดาหาร!I508+ยโสธร!I508+ร้อยเอ็ด!I508+เลย!I508+ศรีสะเกษ!I508+สกลนคร!I508+สุรินทร์!I508+หนองคาย!I508+หนองบัวลำภู!I508+อำนาจเจริญ!I508+อุดรธานี!I508+อุบลราชธานี!I508</f>
        <v>0</v>
      </c>
      <c r="J508" s="162">
        <f ca="1">กาฬสินธุ์!J508+ขอนแก่น!J508+ชัยภูมิ!J508+นครพนม!J508+นครราชสีมา!J508+บึงกาฬ!J508+บุรีรัมย์!J508+มหาสารคาม!J508+มุกดาหาร!J508+ยโสธร!J508+ร้อยเอ็ด!J508+เลย!J508+ศรีสะเกษ!J508+สกลนคร!J508+สุรินทร์!J508+หนองคาย!J508+หนองบัวลำภู!J508+อำนาจเจริญ!J508+อุดรธานี!J508+อุบลราชธานี!J508</f>
        <v>2585.8874999999998</v>
      </c>
      <c r="K508" s="163">
        <f t="shared" ca="1" si="86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กาฬสินธุ์!I509+ขอนแก่น!I509+ชัยภูมิ!I509+นครพนม!I509+นครราชสีมา!I509+บึงกาฬ!I509+บุรีรัมย์!I509+มหาสารคาม!I509+มุกดาหาร!I509+ยโสธร!I509+ร้อยเอ็ด!I509+เลย!I509+ศรีสะเกษ!I509+สกลนคร!I509+สุรินทร์!I509+หนองคาย!I509+หนองบัวลำภู!I509+อำนาจเจริญ!I509+อุดรธานี!I509+อุบลราชธานี!I509</f>
        <v>0</v>
      </c>
      <c r="J509" s="162">
        <f ca="1">กาฬสินธุ์!J509+ขอนแก่น!J509+ชัยภูมิ!J509+นครพนม!J509+นครราชสีมา!J509+บึงกาฬ!J509+บุรีรัมย์!J509+มหาสารคาม!J509+มุกดาหาร!J509+ยโสธร!J509+ร้อยเอ็ด!J509+เลย!J509+ศรีสะเกษ!J509+สกลนคร!J509+สุรินทร์!J509+หนองคาย!J509+หนองบัวลำภู!J509+อำนาจเจริญ!J509+อุดรธานี!J509+อุบลราชธานี!J509</f>
        <v>311</v>
      </c>
      <c r="K509" s="163">
        <f t="shared" ca="1" si="86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กาฬสินธุ์!I510+ขอนแก่น!I510+ชัยภูมิ!I510+นครพนม!I510+นครราชสีมา!I510+บึงกาฬ!I510+บุรีรัมย์!I510+มหาสารคาม!I510+มุกดาหาร!I510+ยโสธร!I510+ร้อยเอ็ด!I510+เลย!I510+ศรีสะเกษ!I510+สกลนคร!I510+สุรินทร์!I510+หนองคาย!I510+หนองบัวลำภู!I510+อำนาจเจริญ!I510+อุดรธานี!I510+อุบลราชธานี!I510</f>
        <v>0</v>
      </c>
      <c r="J510" s="198">
        <f ca="1">กาฬสินธุ์!J510+ขอนแก่น!J510+ชัยภูมิ!J510+นครพนม!J510+นครราชสีมา!J510+บึงกาฬ!J510+บุรีรัมย์!J510+มหาสารคาม!J510+มุกดาหาร!J510+ยโสธร!J510+ร้อยเอ็ด!J510+เลย!J510+ศรีสะเกษ!J510+สกลนคร!J510+สุรินทร์!J510+หนองคาย!J510+หนองบัวลำภู!J510+อำนาจเจริญ!J510+อุดรธานี!J510+อุบลราชธานี!J510</f>
        <v>2320.0950000000003</v>
      </c>
      <c r="K510" s="163">
        <f t="shared" ca="1" si="86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กาฬสินธุ์!I511+ขอนแก่น!I511+ชัยภูมิ!I511+นครพนม!I511+นครราชสีมา!I511+บึงกาฬ!I511+บุรีรัมย์!I511+มหาสารคาม!I511+มุกดาหาร!I511+ยโสธร!I511+ร้อยเอ็ด!I511+เลย!I511+ศรีสะเกษ!I511+สกลนคร!I511+สุรินทร์!I511+หนองคาย!I511+หนองบัวลำภู!I511+อำนาจเจริญ!I511+อุดรธานี!I511+อุบลราชธานี!I511</f>
        <v>0</v>
      </c>
      <c r="J511" s="198">
        <f ca="1">กาฬสินธุ์!J511+ขอนแก่น!J511+ชัยภูมิ!J511+นครพนม!J511+นครราชสีมา!J511+บึงกาฬ!J511+บุรีรัมย์!J511+มหาสารคาม!J511+มุกดาหาร!J511+ยโสธร!J511+ร้อยเอ็ด!J511+เลย!J511+ศรีสะเกษ!J511+สกลนคร!J511+สุรินทร์!J511+หนองคาย!J511+หนองบัวลำภู!J511+อำนาจเจริญ!J511+อุดรธานี!J511+อุบลราชธานี!J511</f>
        <v>281</v>
      </c>
      <c r="K511" s="163">
        <f t="shared" ca="1" si="86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กาฬสินธุ์!I512+ขอนแก่น!I512+ชัยภูมิ!I512+นครพนม!I512+นครราชสีมา!I512+บึงกาฬ!I512+บุรีรัมย์!I512+มหาสารคาม!I512+มุกดาหาร!I512+ยโสธร!I512+ร้อยเอ็ด!I512+เลย!I512+ศรีสะเกษ!I512+สกลนคร!I512+สุรินทร์!I512+หนองคาย!I512+หนองบัวลำภู!I512+อำนาจเจริญ!I512+อุดรธานี!I512+อุบลราชธานี!I512</f>
        <v>0</v>
      </c>
      <c r="J512" s="198">
        <f ca="1">กาฬสินธุ์!J512+ขอนแก่น!J512+ชัยภูมิ!J512+นครพนม!J512+นครราชสีมา!J512+บึงกาฬ!J512+บุรีรัมย์!J512+มหาสารคาม!J512+มุกดาหาร!J512+ยโสธร!J512+ร้อยเอ็ด!J512+เลย!J512+ศรีสะเกษ!J512+สกลนคร!J512+สุรินทร์!J512+หนองคาย!J512+หนองบัวลำภู!J512+อำนาจเจริญ!J512+อุดรธานี!J512+อุบลราชธานี!J512</f>
        <v>265.79250000000002</v>
      </c>
      <c r="K512" s="163">
        <f t="shared" ca="1" si="86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กาฬสินธุ์!I513+ขอนแก่น!I513+ชัยภูมิ!I513+นครพนม!I513+นครราชสีมา!I513+บึงกาฬ!I513+บุรีรัมย์!I513+มหาสารคาม!I513+มุกดาหาร!I513+ยโสธร!I513+ร้อยเอ็ด!I513+เลย!I513+ศรีสะเกษ!I513+สกลนคร!I513+สุรินทร์!I513+หนองคาย!I513+หนองบัวลำภู!I513+อำนาจเจริญ!I513+อุดรธานี!I513+อุบลราชธานี!I513</f>
        <v>0</v>
      </c>
      <c r="J513" s="198">
        <f ca="1">กาฬสินธุ์!J513+ขอนแก่น!J513+ชัยภูมิ!J513+นครพนม!J513+นครราชสีมา!J513+บึงกาฬ!J513+บุรีรัมย์!J513+มหาสารคาม!J513+มุกดาหาร!J513+ยโสธร!J513+ร้อยเอ็ด!J513+เลย!J513+ศรีสะเกษ!J513+สกลนคร!J513+สุรินทร์!J513+หนองคาย!J513+หนองบัวลำภู!J513+อำนาจเจริญ!J513+อุดรธานี!J513+อุบลราชธานี!J513</f>
        <v>30</v>
      </c>
      <c r="K513" s="163">
        <f t="shared" ca="1" si="86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กาฬสินธุ์!I514+ขอนแก่น!I514+ชัยภูมิ!I514+นครพนม!I514+นครราชสีมา!I514+บึงกาฬ!I514+บุรีรัมย์!I514+มหาสารคาม!I514+มุกดาหาร!I514+ยโสธร!I514+ร้อยเอ็ด!I514+เลย!I514+ศรีสะเกษ!I514+สกลนคร!I514+สุรินทร์!I514+หนองคาย!I514+หนองบัวลำภู!I514+อำนาจเจริญ!I514+อุดรธานี!I514+อุบลราชธานี!I514</f>
        <v>0</v>
      </c>
      <c r="J514" s="198">
        <f ca="1">กาฬสินธุ์!J514+ขอนแก่น!J514+ชัยภูมิ!J514+นครพนม!J514+นครราชสีมา!J514+บึงกาฬ!J514+บุรีรัมย์!J514+มหาสารคาม!J514+มุกดาหาร!J514+ยโสธร!J514+ร้อยเอ็ด!J514+เลย!J514+ศรีสะเกษ!J514+สกลนคร!J514+สุรินทร์!J514+หนองคาย!J514+หนองบัวลำภู!J514+อำนาจเจริญ!J514+อุดรธานี!J514+อุบลราชธานี!J514</f>
        <v>1053.83</v>
      </c>
      <c r="K514" s="163">
        <f t="shared" ca="1" si="86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กาฬสินธุ์!I515+ขอนแก่น!I515+ชัยภูมิ!I515+นครพนม!I515+นครราชสีมา!I515+บึงกาฬ!I515+บุรีรัมย์!I515+มหาสารคาม!I515+มุกดาหาร!I515+ยโสธร!I515+ร้อยเอ็ด!I515+เลย!I515+ศรีสะเกษ!I515+สกลนคร!I515+สุรินทร์!I515+หนองคาย!I515+หนองบัวลำภู!I515+อำนาจเจริญ!I515+อุดรธานี!I515+อุบลราชธานี!I515</f>
        <v>0</v>
      </c>
      <c r="J515" s="198">
        <f ca="1">กาฬสินธุ์!J515+ขอนแก่น!J515+ชัยภูมิ!J515+นครพนม!J515+นครราชสีมา!J515+บึงกาฬ!J515+บุรีรัมย์!J515+มหาสารคาม!J515+มุกดาหาร!J515+ยโสธร!J515+ร้อยเอ็ด!J515+เลย!J515+ศรีสะเกษ!J515+สกลนคร!J515+สุรินทร์!J515+หนองคาย!J515+หนองบัวลำภู!J515+อำนาจเจริญ!J515+อุดรธานี!J515+อุบลราชธานี!J515</f>
        <v>275</v>
      </c>
      <c r="K515" s="163">
        <f t="shared" ca="1" si="86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กาฬสินธุ์!I516+ขอนแก่น!I516+ชัยภูมิ!I516+นครพนม!I516+นครราชสีมา!I516+บึงกาฬ!I516+บุรีรัมย์!I516+มหาสารคาม!I516+มุกดาหาร!I516+ยโสธร!I516+ร้อยเอ็ด!I516+เลย!I516+ศรีสะเกษ!I516+สกลนคร!I516+สุรินทร์!I516+หนองคาย!I516+หนองบัวลำภู!I516+อำนาจเจริญ!I516+อุดรธานี!I516+อุบลราชธานี!I516</f>
        <v>0</v>
      </c>
      <c r="J516" s="267">
        <f ca="1">กาฬสินธุ์!J516+ขอนแก่น!J516+ชัยภูมิ!J516+นครพนม!J516+นครราชสีมา!J516+บึงกาฬ!J516+บุรีรัมย์!J516+มหาสารคาม!J516+มุกดาหาร!J516+ยโสธร!J516+ร้อยเอ็ด!J516+เลย!J516+ศรีสะเกษ!J516+สกลนคร!J516+สุรินทร์!J516+หนองคาย!J516+หนองบัวลำภู!J516+อำนาจเจริญ!J516+อุดรธานี!J516+อุบลราชธานี!J516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กาฬสินธุ์!I517+ขอนแก่น!I517+ชัยภูมิ!I517+นครพนม!I517+นครราชสีมา!I517+บึงกาฬ!I517+บุรีรัมย์!I517+มหาสารคาม!I517+มุกดาหาร!I517+ยโสธร!I517+ร้อยเอ็ด!I517+เลย!I517+ศรีสะเกษ!I517+สกลนคร!I517+สุรินทร์!I517+หนองคาย!I517+หนองบัวลำภู!I517+อำนาจเจริญ!I517+อุดรธานี!I517+อุบลราชธานี!I517</f>
        <v>0</v>
      </c>
      <c r="J517" s="284">
        <f ca="1">กาฬสินธุ์!J517+ขอนแก่น!J517+ชัยภูมิ!J517+นครพนม!J517+นครราชสีมา!J517+บึงกาฬ!J517+บุรีรัมย์!J517+มหาสารคาม!J517+มุกดาหาร!J517+ยโสธร!J517+ร้อยเอ็ด!J517+เลย!J517+ศรีสะเกษ!J517+สกลนคร!J517+สุรินทร์!J517+หนองคาย!J517+หนองบัวลำภู!J517+อำนาจเจริญ!J517+อุดรธานี!J517+อุบลราชธานี!J517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กาฬสินธุ์!I518+ขอนแก่น!I518+ชัยภูมิ!I518+นครพนม!I518+นครราชสีมา!I518+บึงกาฬ!I518+บุรีรัมย์!I518+มหาสารคาม!I518+มุกดาหาร!I518+ยโสธร!I518+ร้อยเอ็ด!I518+เลย!I518+ศรีสะเกษ!I518+สกลนคร!I518+สุรินทร์!I518+หนองคาย!I518+หนองบัวลำภู!I518+อำนาจเจริญ!I518+อุดรธานี!I518+อุบลราชธานี!I518</f>
        <v>0</v>
      </c>
      <c r="J518" s="284">
        <f ca="1">กาฬสินธุ์!J518+ขอนแก่น!J518+ชัยภูมิ!J518+นครพนม!J518+นครราชสีมา!J518+บึงกาฬ!J518+บุรีรัมย์!J518+มหาสารคาม!J518+มุกดาหาร!J518+ยโสธร!J518+ร้อยเอ็ด!J518+เลย!J518+ศรีสะเกษ!J518+สกลนคร!J518+สุรินทร์!J518+หนองคาย!J518+หนองบัวลำภู!J518+อำนาจเจริญ!J518+อุดรธานี!J518+อุบลราชธานี!J518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กาฬสินธุ์!I519+ขอนแก่น!I519+ชัยภูมิ!I519+นครพนม!I519+นครราชสีมา!I519+บึงกาฬ!I519+บุรีรัมย์!I519+มหาสารคาม!I519+มุกดาหาร!I519+ยโสธร!I519+ร้อยเอ็ด!I519+เลย!I519+ศรีสะเกษ!I519+สกลนคร!I519+สุรินทร์!I519+หนองคาย!I519+หนองบัวลำภู!I519+อำนาจเจริญ!I519+อุดรธานี!I519+อุบลราชธานี!I519</f>
        <v>0</v>
      </c>
      <c r="J519" s="188">
        <f ca="1">กาฬสินธุ์!J519+ขอนแก่น!J519+ชัยภูมิ!J519+นครพนม!J519+นครราชสีมา!J519+บึงกาฬ!J519+บุรีรัมย์!J519+มหาสารคาม!J519+มุกดาหาร!J519+ยโสธร!J519+ร้อยเอ็ด!J519+เลย!J519+ศรีสะเกษ!J519+สกลนคร!J519+สุรินทร์!J519+หนองคาย!J519+หนองบัวลำภู!J519+อำนาจเจริญ!J519+อุดรธานี!J519+อุบลราชธานี!J519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กาฬสินธุ์!I520+ขอนแก่น!I520+ชัยภูมิ!I520+นครพนม!I520+นครราชสีมา!I520+บึงกาฬ!I520+บุรีรัมย์!I520+มหาสารคาม!I520+มุกดาหาร!I520+ยโสธร!I520+ร้อยเอ็ด!I520+เลย!I520+ศรีสะเกษ!I520+สกลนคร!I520+สุรินทร์!I520+หนองคาย!I520+หนองบัวลำภู!I520+อำนาจเจริญ!I520+อุดรธานี!I520+อุบลราชธานี!I520</f>
        <v>0</v>
      </c>
      <c r="J520" s="188">
        <f ca="1">กาฬสินธุ์!J520+ขอนแก่น!J520+ชัยภูมิ!J520+นครพนม!J520+นครราชสีมา!J520+บึงกาฬ!J520+บุรีรัมย์!J520+มหาสารคาม!J520+มุกดาหาร!J520+ยโสธร!J520+ร้อยเอ็ด!J520+เลย!J520+ศรีสะเกษ!J520+สกลนคร!J520+สุรินทร์!J520+หนองคาย!J520+หนองบัวลำภู!J520+อำนาจเจริญ!J520+อุดรธานี!J520+อุบลราชธานี!J520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กาฬสินธุ์!I521+ขอนแก่น!I521+ชัยภูมิ!I521+นครพนม!I521+นครราชสีมา!I521+บึงกาฬ!I521+บุรีรัมย์!I521+มหาสารคาม!I521+มุกดาหาร!I521+ยโสธร!I521+ร้อยเอ็ด!I521+เลย!I521+ศรีสะเกษ!I521+สกลนคร!I521+สุรินทร์!I521+หนองคาย!I521+หนองบัวลำภู!I521+อำนาจเจริญ!I521+อุดรธานี!I521+อุบลราชธานี!I521</f>
        <v>0</v>
      </c>
      <c r="J521" s="188">
        <f ca="1">กาฬสินธุ์!J521+ขอนแก่น!J521+ชัยภูมิ!J521+นครพนม!J521+นครราชสีมา!J521+บึงกาฬ!J521+บุรีรัมย์!J521+มหาสารคาม!J521+มุกดาหาร!J521+ยโสธร!J521+ร้อยเอ็ด!J521+เลย!J521+ศรีสะเกษ!J521+สกลนคร!J521+สุรินทร์!J521+หนองคาย!J521+หนองบัวลำภู!J521+อำนาจเจริญ!J521+อุดรธานี!J521+อุบลราชธานี!J521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กาฬสินธุ์!I522+ขอนแก่น!I522+ชัยภูมิ!I522+นครพนม!I522+นครราชสีมา!I522+บึงกาฬ!I522+บุรีรัมย์!I522+มหาสารคาม!I522+มุกดาหาร!I522+ยโสธร!I522+ร้อยเอ็ด!I522+เลย!I522+ศรีสะเกษ!I522+สกลนคร!I522+สุรินทร์!I522+หนองคาย!I522+หนองบัวลำภู!I522+อำนาจเจริญ!I522+อุดรธานี!I522+อุบลราชธานี!I522</f>
        <v>0</v>
      </c>
      <c r="J522" s="188">
        <f ca="1">กาฬสินธุ์!J522+ขอนแก่น!J522+ชัยภูมิ!J522+นครพนม!J522+นครราชสีมา!J522+บึงกาฬ!J522+บุรีรัมย์!J522+มหาสารคาม!J522+มุกดาหาร!J522+ยโสธร!J522+ร้อยเอ็ด!J522+เลย!J522+ศรีสะเกษ!J522+สกลนคร!J522+สุรินทร์!J522+หนองคาย!J522+หนองบัวลำภู!J522+อำนาจเจริญ!J522+อุดรธานี!J522+อุบลราชธานี!J522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กาฬสินธุ์!I523+ขอนแก่น!I523+ชัยภูมิ!I523+นครพนม!I523+นครราชสีมา!I523+บึงกาฬ!I523+บุรีรัมย์!I523+มหาสารคาม!I523+มุกดาหาร!I523+ยโสธร!I523+ร้อยเอ็ด!I523+เลย!I523+ศรีสะเกษ!I523+สกลนคร!I523+สุรินทร์!I523+หนองคาย!I523+หนองบัวลำภู!I523+อำนาจเจริญ!I523+อุดรธานี!I523+อุบลราชธานี!I523</f>
        <v>0</v>
      </c>
      <c r="J523" s="188">
        <f ca="1">กาฬสินธุ์!J523+ขอนแก่น!J523+ชัยภูมิ!J523+นครพนม!J523+นครราชสีมา!J523+บึงกาฬ!J523+บุรีรัมย์!J523+มหาสารคาม!J523+มุกดาหาร!J523+ยโสธร!J523+ร้อยเอ็ด!J523+เลย!J523+ศรีสะเกษ!J523+สกลนคร!J523+สุรินทร์!J523+หนองคาย!J523+หนองบัวลำภู!J523+อำนาจเจริญ!J523+อุดรธานี!J523+อุบลราชธานี!J523</f>
        <v>1584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กาฬสินธุ์!I524+ขอนแก่น!I524+ชัยภูมิ!I524+นครพนม!I524+นครราชสีมา!I524+บึงกาฬ!I524+บุรีรัมย์!I524+มหาสารคาม!I524+มุกดาหาร!I524+ยโสธร!I524+ร้อยเอ็ด!I524+เลย!I524+ศรีสะเกษ!I524+สกลนคร!I524+สุรินทร์!I524+หนองคาย!I524+หนองบัวลำภู!I524+อำนาจเจริญ!I524+อุดรธานี!I524+อุบลราชธานี!I524</f>
        <v>0</v>
      </c>
      <c r="J524" s="188">
        <f ca="1">กาฬสินธุ์!J524+ขอนแก่น!J524+ชัยภูมิ!J524+นครพนม!J524+นครราชสีมา!J524+บึงกาฬ!J524+บุรีรัมย์!J524+มหาสารคาม!J524+มุกดาหาร!J524+ยโสธร!J524+ร้อยเอ็ด!J524+เลย!J524+ศรีสะเกษ!J524+สกลนคร!J524+สุรินทร์!J524+หนองคาย!J524+หนองบัวลำภู!J524+อำนาจเจริญ!J524+อุดรธานี!J524+อุบลราชธานี!J524</f>
        <v>90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กาฬสินธุ์!I525+ขอนแก่น!I525+ชัยภูมิ!I525+นครพนม!I525+นครราชสีมา!I525+บึงกาฬ!I525+บุรีรัมย์!I525+มหาสารคาม!I525+มุกดาหาร!I525+ยโสธร!I525+ร้อยเอ็ด!I525+เลย!I525+ศรีสะเกษ!I525+สกลนคร!I525+สุรินทร์!I525+หนองคาย!I525+หนองบัวลำภู!I525+อำนาจเจริญ!I525+อุดรธานี!I525+อุบลราชธานี!I525</f>
        <v>1584</v>
      </c>
      <c r="J525" s="284">
        <f ca="1">กาฬสินธุ์!J525+ขอนแก่น!J525+ชัยภูมิ!J525+นครพนม!J525+นครราชสีมา!J525+บึงกาฬ!J525+บุรีรัมย์!J525+มหาสารคาม!J525+มุกดาหาร!J525+ยโสธร!J525+ร้อยเอ็ด!J525+เลย!J525+ศรีสะเกษ!J525+สกลนคร!J525+สุรินทร์!J525+หนองคาย!J525+หนองบัวลำภู!J525+อำนาจเจริญ!J525+อุดรธานี!J525+อุบลราชธานี!J525</f>
        <v>14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กาฬสินธุ์!I526+ขอนแก่น!I526+ชัยภูมิ!I526+นครพนม!I526+นครราชสีมา!I526+บึงกาฬ!I526+บุรีรัมย์!I526+มหาสารคาม!I526+มุกดาหาร!I526+ยโสธร!I526+ร้อยเอ็ด!I526+เลย!I526+ศรีสะเกษ!I526+สกลนคร!I526+สุรินทร์!I526+หนองคาย!I526+หนองบัวลำภู!I526+อำนาจเจริญ!I526+อุดรธานี!I526+อุบลราชธานี!I526</f>
        <v>90</v>
      </c>
      <c r="J526" s="284">
        <f ca="1">กาฬสินธุ์!J526+ขอนแก่น!J526+ชัยภูมิ!J526+นครพนม!J526+นครราชสีมา!J526+บึงกาฬ!J526+บุรีรัมย์!J526+มหาสารคาม!J526+มุกดาหาร!J526+ยโสธร!J526+ร้อยเอ็ด!J526+เลย!J526+ศรีสะเกษ!J526+สกลนคร!J526+สุรินทร์!J526+หนองคาย!J526+หนองบัวลำภู!J526+อำนาจเจริญ!J526+อุดรธานี!J526+อุบลราชธานี!J526</f>
        <v>1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กาฬสินธุ์!I527+ขอนแก่น!I527+ชัยภูมิ!I527+นครพนม!I527+นครราชสีมา!I527+บึงกาฬ!I527+บุรีรัมย์!I527+มหาสารคาม!I527+มุกดาหาร!I527+ยโสธร!I527+ร้อยเอ็ด!I527+เลย!I527+ศรีสะเกษ!I527+สกลนคร!I527+สุรินทร์!I527+หนองคาย!I527+หนองบัวลำภู!I527+อำนาจเจริญ!I527+อุดรธานี!I527+อุบลราชธานี!I527</f>
        <v>0</v>
      </c>
      <c r="J527" s="198">
        <f ca="1">กาฬสินธุ์!J527+ขอนแก่น!J527+ชัยภูมิ!J527+นครพนม!J527+นครราชสีมา!J527+บึงกาฬ!J527+บุรีรัมย์!J527+มหาสารคาม!J527+มุกดาหาร!J527+ยโสธร!J527+ร้อยเอ็ด!J527+เลย!J527+ศรีสะเกษ!J527+สกลนคร!J527+สุรินทร์!J527+หนองคาย!J527+หนองบัวลำภู!J527+อำนาจเจริญ!J527+อุดรธานี!J527+อุบลราชธานี!J527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กาฬสินธุ์!I528+ขอนแก่น!I528+ชัยภูมิ!I528+นครพนม!I528+นครราชสีมา!I528+บึงกาฬ!I528+บุรีรัมย์!I528+มหาสารคาม!I528+มุกดาหาร!I528+ยโสธร!I528+ร้อยเอ็ด!I528+เลย!I528+ศรีสะเกษ!I528+สกลนคร!I528+สุรินทร์!I528+หนองคาย!I528+หนองบัวลำภู!I528+อำนาจเจริญ!I528+อุดรธานี!I528+อุบลราชธานี!I528</f>
        <v>0</v>
      </c>
      <c r="J528" s="198">
        <f ca="1">กาฬสินธุ์!J528+ขอนแก่น!J528+ชัยภูมิ!J528+นครพนม!J528+นครราชสีมา!J528+บึงกาฬ!J528+บุรีรัมย์!J528+มหาสารคาม!J528+มุกดาหาร!J528+ยโสธร!J528+ร้อยเอ็ด!J528+เลย!J528+ศรีสะเกษ!J528+สกลนคร!J528+สุรินทร์!J528+หนองคาย!J528+หนองบัวลำภู!J528+อำนาจเจริญ!J528+อุดรธานี!J528+อุบลราชธานี!J528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กาฬสินธุ์!I529+ขอนแก่น!I529+ชัยภูมิ!I529+นครพนม!I529+นครราชสีมา!I529+บึงกาฬ!I529+บุรีรัมย์!I529+มหาสารคาม!I529+มุกดาหาร!I529+ยโสธร!I529+ร้อยเอ็ด!I529+เลย!I529+ศรีสะเกษ!I529+สกลนคร!I529+สุรินทร์!I529+หนองคาย!I529+หนองบัวลำภู!I529+อำนาจเจริญ!I529+อุดรธานี!I529+อุบลราชธานี!I529</f>
        <v>0</v>
      </c>
      <c r="J529" s="198">
        <f ca="1">กาฬสินธุ์!J529+ขอนแก่น!J529+ชัยภูมิ!J529+นครพนม!J529+นครราชสีมา!J529+บึงกาฬ!J529+บุรีรัมย์!J529+มหาสารคาม!J529+มุกดาหาร!J529+ยโสธร!J529+ร้อยเอ็ด!J529+เลย!J529+ศรีสะเกษ!J529+สกลนคร!J529+สุรินทร์!J529+หนองคาย!J529+หนองบัวลำภู!J529+อำนาจเจริญ!J529+อุดรธานี!J529+อุบลราชธานี!J529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กาฬสินธุ์!I530+ขอนแก่น!I530+ชัยภูมิ!I530+นครพนม!I530+นครราชสีมา!I530+บึงกาฬ!I530+บุรีรัมย์!I530+มหาสารคาม!I530+มุกดาหาร!I530+ยโสธร!I530+ร้อยเอ็ด!I530+เลย!I530+ศรีสะเกษ!I530+สกลนคร!I530+สุรินทร์!I530+หนองคาย!I530+หนองบัวลำภู!I530+อำนาจเจริญ!I530+อุดรธานี!I530+อุบลราชธานี!I530</f>
        <v>0</v>
      </c>
      <c r="J530" s="198">
        <f ca="1">กาฬสินธุ์!J530+ขอนแก่น!J530+ชัยภูมิ!J530+นครพนม!J530+นครราชสีมา!J530+บึงกาฬ!J530+บุรีรัมย์!J530+มหาสารคาม!J530+มุกดาหาร!J530+ยโสธร!J530+ร้อยเอ็ด!J530+เลย!J530+ศรีสะเกษ!J530+สกลนคร!J530+สุรินทร์!J530+หนองคาย!J530+หนองบัวลำภู!J530+อำนาจเจริญ!J530+อุดรธานี!J530+อุบลราชธานี!J530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กาฬสินธุ์!I531+ขอนแก่น!I531+ชัยภูมิ!I531+นครพนม!I531+นครราชสีมา!I531+บึงกาฬ!I531+บุรีรัมย์!I531+มหาสารคาม!I531+มุกดาหาร!I531+ยโสธร!I531+ร้อยเอ็ด!I531+เลย!I531+ศรีสะเกษ!I531+สกลนคร!I531+สุรินทร์!I531+หนองคาย!I531+หนองบัวลำภู!I531+อำนาจเจริญ!I531+อุดรธานี!I531+อุบลราชธานี!I531</f>
        <v>0</v>
      </c>
      <c r="J531" s="198">
        <f ca="1">กาฬสินธุ์!J531+ขอนแก่น!J531+ชัยภูมิ!J531+นครพนม!J531+นครราชสีมา!J531+บึงกาฬ!J531+บุรีรัมย์!J531+มหาสารคาม!J531+มุกดาหาร!J531+ยโสธร!J531+ร้อยเอ็ด!J531+เลย!J531+ศรีสะเกษ!J531+สกลนคร!J531+สุรินทร์!J531+หนองคาย!J531+หนองบัวลำภู!J531+อำนาจเจริญ!J531+อุดรธานี!J531+อุบลราชธานี!J531</f>
        <v>14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กาฬสินธุ์!I532+ขอนแก่น!I532+ชัยภูมิ!I532+นครพนม!I532+นครราชสีมา!I532+บึงกาฬ!I532+บุรีรัมย์!I532+มหาสารคาม!I532+มุกดาหาร!I532+ยโสธร!I532+ร้อยเอ็ด!I532+เลย!I532+ศรีสะเกษ!I532+สกลนคร!I532+สุรินทร์!I532+หนองคาย!I532+หนองบัวลำภู!I532+อำนาจเจริญ!I532+อุดรธานี!I532+อุบลราชธานี!I532</f>
        <v>0</v>
      </c>
      <c r="J532" s="466">
        <f ca="1">กาฬสินธุ์!J532+ขอนแก่น!J532+ชัยภูมิ!J532+นครพนม!J532+นครราชสีมา!J532+บึงกาฬ!J532+บุรีรัมย์!J532+มหาสารคาม!J532+มุกดาหาร!J532+ยโสธร!J532+ร้อยเอ็ด!J532+เลย!J532+ศรีสะเกษ!J532+สกลนคร!J532+สุรินทร์!J532+หนองคาย!J532+หนองบัวลำภู!J532+อำนาจเจริญ!J532+อุดรธานี!J532+อุบลราชธานี!J532</f>
        <v>1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กาฬสินธุ์!I533+ขอนแก่น!I533+ชัยภูมิ!I533+นครพนม!I533+นครราชสีมา!I533+บึงกาฬ!I533+บุรีรัมย์!I533+มหาสารคาม!I533+มุกดาหาร!I533+ยโสธร!I533+ร้อยเอ็ด!I533+เลย!I533+ศรีสะเกษ!I533+สกลนคร!I533+สุรินทร์!I533+หนองคาย!I533+หนองบัวลำภู!I533+อำนาจเจริญ!I533+อุดรธานี!I533+อุบลราชธานี!I533</f>
        <v>462</v>
      </c>
      <c r="J533" s="410">
        <f ca="1">กาฬสินธุ์!J533+ขอนแก่น!J533+ชัยภูมิ!J533+นครพนม!J533+นครราชสีมา!J533+บึงกาฬ!J533+บุรีรัมย์!J533+มหาสารคาม!J533+มุกดาหาร!J533+ยโสธร!J533+ร้อยเอ็ด!J533+เลย!J533+ศรีสะเกษ!J533+สกลนคร!J533+สุรินทร์!J533+หนองคาย!J533+หนองบัวลำภู!J533+อำนาจเจริญ!J533+อุดรธานี!J533+อุบลราชธานี!J533</f>
        <v>462</v>
      </c>
      <c r="K533" s="411">
        <f ca="1">IF(I533&gt;0,J533*100/I533,0)</f>
        <v>100</v>
      </c>
      <c r="L533" s="412">
        <f ca="1">กาฬสินธุ์!L533+ขอนแก่น!L533+ชัยภูมิ!L533+นครพนม!L533+นครราชสีมา!L533+บึงกาฬ!L533+บุรีรัมย์!L533+มหาสารคาม!L533+มุกดาหาร!L533+ยโสธร!L533+ร้อยเอ็ด!L533+เลย!L533+ศรีสะเกษ!L533+สกลนคร!L533+สุรินทร์!L533+หนองคาย!L533+หนองบัวลำภู!L533+อำนาจเจริญ!L533+อุดรธานี!L533+อุบลราชธานี!L533</f>
        <v>705510</v>
      </c>
      <c r="M533" s="412"/>
      <c r="N533" s="412">
        <f ca="1">กาฬสินธุ์!N533+ขอนแก่น!N533+ชัยภูมิ!N533+นครพนม!N533+นครราชสีมา!N533+บึงกาฬ!N533+บุรีรัมย์!N533+มหาสารคาม!N533+มุกดาหาร!N533+ยโสธร!N533+ร้อยเอ็ด!N533+เลย!N533+ศรีสะเกษ!N533+สกลนคร!N533+สุรินทร์!N533+หนองคาย!N533+หนองบัวลำภู!N533+อำนาจเจริญ!N533+อุดรธานี!N533+อุบลราชธานี!N533</f>
        <v>554334.69999999995</v>
      </c>
      <c r="O533" s="412">
        <f t="shared" ref="O533:O537" ca="1" si="87">+IF(L533&gt;0,N533*100/L533,0)</f>
        <v>78.572196000056692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กาฬสินธุ์!L534+ขอนแก่น!L534+ชัยภูมิ!L534+นครพนม!L534+นครราชสีมา!L534+บึงกาฬ!L534+บุรีรัมย์!L534+มหาสารคาม!L534+มุกดาหาร!L534+ยโสธร!L534+ร้อยเอ็ด!L534+เลย!L534+ศรีสะเกษ!L534+สกลนคร!L534+สุรินทร์!L534+หนองคาย!L534+หนองบัวลำภู!L534+อำนาจเจริญ!L534+อุดรธานี!L534+อุบลราชธานี!L534</f>
        <v>0</v>
      </c>
      <c r="M534" s="164"/>
      <c r="N534" s="169">
        <f ca="1">กาฬสินธุ์!N534+ขอนแก่น!N534+ชัยภูมิ!N534+นครพนม!N534+นครราชสีมา!N534+บึงกาฬ!N534+บุรีรัมย์!N534+มหาสารคาม!N534+มุกดาหาร!N534+ยโสธร!N534+ร้อยเอ็ด!N534+เลย!N534+ศรีสะเกษ!N534+สกลนคร!N534+สุรินทร์!N534+หนองคาย!N534+หนองบัวลำภู!N534+อำนาจเจริญ!N534+อุดรธานี!N534+อุบลราชธานี!N534</f>
        <v>0</v>
      </c>
      <c r="O534" s="169">
        <f t="shared" ca="1" si="87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กาฬสินธุ์!L535+ขอนแก่น!L535+ชัยภูมิ!L535+นครพนม!L535+นครราชสีมา!L535+บึงกาฬ!L535+บุรีรัมย์!L535+มหาสารคาม!L535+มุกดาหาร!L535+ยโสธร!L535+ร้อยเอ็ด!L535+เลย!L535+ศรีสะเกษ!L535+สกลนคร!L535+สุรินทร์!L535+หนองคาย!L535+หนองบัวลำภู!L535+อำนาจเจริญ!L535+อุดรธานี!L535+อุบลราชธานี!L535</f>
        <v>705510</v>
      </c>
      <c r="M535" s="165"/>
      <c r="N535" s="169">
        <f ca="1">กาฬสินธุ์!N535+ขอนแก่น!N535+ชัยภูมิ!N535+นครพนม!N535+นครราชสีมา!N535+บึงกาฬ!N535+บุรีรัมย์!N535+มหาสารคาม!N535+มุกดาหาร!N535+ยโสธร!N535+ร้อยเอ็ด!N535+เลย!N535+ศรีสะเกษ!N535+สกลนคร!N535+สุรินทร์!N535+หนองคาย!N535+หนองบัวลำภู!N535+อำนาจเจริญ!N535+อุดรธานี!N535+อุบลราชธานี!N535</f>
        <v>554334.69999999995</v>
      </c>
      <c r="O535" s="169">
        <f t="shared" ca="1" si="87"/>
        <v>78.572196000056692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กาฬสินธุ์!L536+ขอนแก่น!L536+ชัยภูมิ!L536+นครพนม!L536+นครราชสีมา!L536+บึงกาฬ!L536+บุรีรัมย์!L536+มหาสารคาม!L536+มุกดาหาร!L536+ยโสธร!L536+ร้อยเอ็ด!L536+เลย!L536+ศรีสะเกษ!L536+สกลนคร!L536+สุรินทร์!L536+หนองคาย!L536+หนองบัวลำภู!L536+อำนาจเจริญ!L536+อุดรธานี!L536+อุบลราชธานี!L536</f>
        <v>0</v>
      </c>
      <c r="M536" s="169"/>
      <c r="N536" s="169">
        <f ca="1">กาฬสินธุ์!N536+ขอนแก่น!N536+ชัยภูมิ!N536+นครพนม!N536+นครราชสีมา!N536+บึงกาฬ!N536+บุรีรัมย์!N536+มหาสารคาม!N536+มุกดาหาร!N536+ยโสธร!N536+ร้อยเอ็ด!N536+เลย!N536+ศรีสะเกษ!N536+สกลนคร!N536+สุรินทร์!N536+หนองคาย!N536+หนองบัวลำภู!N536+อำนาจเจริญ!N536+อุดรธานี!N536+อุบลราชธานี!N536</f>
        <v>0</v>
      </c>
      <c r="O536" s="169">
        <f t="shared" ca="1" si="87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กาฬสินธุ์!L537+ขอนแก่น!L537+ชัยภูมิ!L537+นครพนม!L537+นครราชสีมา!L537+บึงกาฬ!L537+บุรีรัมย์!L537+มหาสารคาม!L537+มุกดาหาร!L537+ยโสธร!L537+ร้อยเอ็ด!L537+เลย!L537+ศรีสะเกษ!L537+สกลนคร!L537+สุรินทร์!L537+หนองคาย!L537+หนองบัวลำภู!L537+อำนาจเจริญ!L537+อุดรธานี!L537+อุบลราชธานี!L537</f>
        <v>705510</v>
      </c>
      <c r="M537" s="169"/>
      <c r="N537" s="169">
        <f ca="1">กาฬสินธุ์!N537+ขอนแก่น!N537+ชัยภูมิ!N537+นครพนม!N537+นครราชสีมา!N537+บึงกาฬ!N537+บุรีรัมย์!N537+มหาสารคาม!N537+มุกดาหาร!N537+ยโสธร!N537+ร้อยเอ็ด!N537+เลย!N537+ศรีสะเกษ!N537+สกลนคร!N537+สุรินทร์!N537+หนองคาย!N537+หนองบัวลำภู!N537+อำนาจเจริญ!N537+อุดรธานี!N537+อุบลราชธานี!N537</f>
        <v>554334.69999999995</v>
      </c>
      <c r="O537" s="169">
        <f t="shared" ca="1" si="87"/>
        <v>78.572196000056692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กาฬสินธุ์!N538+ขอนแก่น!N538+ชัยภูมิ!N538+นครพนม!N538+นครราชสีมา!N538+บึงกาฬ!N538+บุรีรัมย์!N538+มหาสารคาม!N538+มุกดาหาร!N538+ยโสธร!N538+ร้อยเอ็ด!N538+เลย!N538+ศรีสะเกษ!N538+สกลนคร!N538+สุรินทร์!N538+หนองคาย!N538+หนองบัวลำภู!N538+อำนาจเจริญ!N538+อุดรธานี!N538+อุบลราชธานี!N538</f>
        <v>350007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กาฬสินธุ์!N539+ขอนแก่น!N539+ชัยภูมิ!N539+นครพนม!N539+นครราชสีมา!N539+บึงกาฬ!N539+บุรีรัมย์!N539+มหาสารคาม!N539+มุกดาหาร!N539+ยโสธร!N539+ร้อยเอ็ด!N539+เลย!N539+ศรีสะเกษ!N539+สกลนคร!N539+สุรินทร์!N539+หนองคาย!N539+หนองบัวลำภู!N539+อำนาจเจริญ!N539+อุดรธานี!N539+อุบลราชธานี!N539</f>
        <v>32902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กาฬสินธุ์!N540+ขอนแก่น!N540+ชัยภูมิ!N540+นครพนม!N540+นครราชสีมา!N540+บึงกาฬ!N540+บุรีรัมย์!N540+มหาสารคาม!N540+มุกดาหาร!N540+ยโสธร!N540+ร้อยเอ็ด!N540+เลย!N540+ศรีสะเกษ!N540+สกลนคร!N540+สุรินทร์!N540+หนองคาย!N540+หนองบัวลำภู!N540+อำนาจเจริญ!N540+อุดรธานี!N540+อุบลราชธานี!N540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กาฬสินธุ์!N541+ขอนแก่น!N541+ชัยภูมิ!N541+นครพนม!N541+นครราชสีมา!N541+บึงกาฬ!N541+บุรีรัมย์!N541+มหาสารคาม!N541+มุกดาหาร!N541+ยโสธร!N541+ร้อยเอ็ด!N541+เลย!N541+ศรีสะเกษ!N541+สกลนคร!N541+สุรินทร์!N541+หนองคาย!N541+หนองบัวลำภู!N541+อำนาจเจริญ!N541+อุดรธานี!N541+อุบลราชธานี!N541</f>
        <v>171425.7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กาฬสินธุ์!J543+ขอนแก่น!J543+ชัยภูมิ!J543+นครพนม!J543+นครราชสีมา!J543+บึงกาฬ!J543+บุรีรัมย์!J543+มหาสารคาม!J543+มุกดาหาร!J543+ยโสธร!J543+ร้อยเอ็ด!J543+เลย!J543+ศรีสะเกษ!J543+สกลนคร!J543+สุรินทร์!J543+หนองคาย!J543+หนองบัวลำภู!J543+อำนาจเจริญ!J543+อุดรธานี!J543+อุบลราชธานี!J543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กาฬสินธุ์!J544+ขอนแก่น!J544+ชัยภูมิ!J544+นครพนม!J544+นครราชสีมา!J544+บึงกาฬ!J544+บุรีรัมย์!J544+มหาสารคาม!J544+มุกดาหาร!J544+ยโสธร!J544+ร้อยเอ็ด!J544+เลย!J544+ศรีสะเกษ!J544+สกลนคร!J544+สุรินทร์!J544+หนองคาย!J544+หนองบัวลำภู!J544+อำนาจเจริญ!J544+อุดรธานี!J544+อุบลราชธานี!J544</f>
        <v>18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กาฬสินธุ์!J545+ขอนแก่น!J545+ชัยภูมิ!J545+นครพนม!J545+นครราชสีมา!J545+บึงกาฬ!J545+บุรีรัมย์!J545+มหาสารคาม!J545+มุกดาหาร!J545+ยโสธร!J545+ร้อยเอ็ด!J545+เลย!J545+ศรีสะเกษ!J545+สกลนคร!J545+สุรินทร์!J545+หนองคาย!J545+หนองบัวลำภู!J545+อำนาจเจริญ!J545+อุดรธานี!J545+อุบลราชธานี!J545</f>
        <v>18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กาฬสินธุ์!J546+ขอนแก่น!J546+ชัยภูมิ!J546+นครพนม!J546+นครราชสีมา!J546+บึงกาฬ!J546+บุรีรัมย์!J546+มหาสารคาม!J546+มุกดาหาร!J546+ยโสธร!J546+ร้อยเอ็ด!J546+เลย!J546+ศรีสะเกษ!J546+สกลนคร!J546+สุรินทร์!J546+หนองคาย!J546+หนองบัวลำภู!J546+อำนาจเจริญ!J546+อุดรธานี!J546+อุบลราชธานี!J546</f>
        <v>15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กาฬสินธุ์!I547+ขอนแก่น!I547+ชัยภูมิ!I547+นครพนม!I547+นครราชสีมา!I547+บึงกาฬ!I547+บุรีรัมย์!I547+มหาสารคาม!I547+มุกดาหาร!I547+ยโสธร!I547+ร้อยเอ็ด!I547+เลย!I547+ศรีสะเกษ!I547+สกลนคร!I547+สุรินทร์!I547+หนองคาย!I547+หนองบัวลำภู!I547+อำนาจเจริญ!I547+อุดรธานี!I547+อุบลราชธานี!I547</f>
        <v>462</v>
      </c>
      <c r="J547" s="189">
        <f ca="1">กาฬสินธุ์!J547+ขอนแก่น!J547+ชัยภูมิ!J547+นครพนม!J547+นครราชสีมา!J547+บึงกาฬ!J547+บุรีรัมย์!J547+มหาสารคาม!J547+มุกดาหาร!J547+ยโสธร!J547+ร้อยเอ็ด!J547+เลย!J547+ศรีสะเกษ!J547+สกลนคร!J547+สุรินทร์!J547+หนองคาย!J547+หนองบัวลำภู!J547+อำนาจเจริญ!J547+อุดรธานี!J547+อุบลราชธานี!J547</f>
        <v>462</v>
      </c>
      <c r="K547" s="163">
        <f t="shared" ref="K547:K548" ca="1" si="88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กาฬสินธุ์!J548+ขอนแก่น!J548+ชัยภูมิ!J548+นครพนม!J548+นครราชสีมา!J548+บึงกาฬ!J548+บุรีรัมย์!J548+มหาสารคาม!J548+มุกดาหาร!J548+ยโสธร!J548+ร้อยเอ็ด!J548+เลย!J548+ศรีสะเกษ!J548+สกลนคร!J548+สุรินทร์!J548+หนองคาย!J548+หนองบัวลำภู!J548+อำนาจเจริญ!J548+อุดรธานี!J548+อุบลราชธานี!J548</f>
        <v>0</v>
      </c>
      <c r="K548" s="163">
        <f t="shared" ca="1" si="88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กาฬสินธุ์!J549+ขอนแก่น!J549+ชัยภูมิ!J549+นครพนม!J549+นครราชสีมา!J549+บึงกาฬ!J549+บุรีรัมย์!J549+มหาสารคาม!J549+มุกดาหาร!J549+ยโสธร!J549+ร้อยเอ็ด!J549+เลย!J549+ศรีสะเกษ!J549+สกลนคร!J549+สุรินทร์!J549+หนองคาย!J549+หนองบัวลำภู!J549+อำนาจเจริญ!J549+อุดรธานี!J549+อุบลราชธานี!J549</f>
        <v>2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กาฬสินธุ์!J550+ขอนแก่น!J550+ชัยภูมิ!J550+นครพนม!J550+นครราชสีมา!J550+บึงกาฬ!J550+บุรีรัมย์!J550+มหาสารคาม!J550+มุกดาหาร!J550+ยโสธร!J550+ร้อยเอ็ด!J550+เลย!J550+ศรีสะเกษ!J550+สกลนคร!J550+สุรินทร์!J550+หนองคาย!J550+หนองบัวลำภู!J550+อำนาจเจริญ!J550+อุดรธานี!J550+อุบลราชธานี!J550</f>
        <v>2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กาฬสินธุ์!I551+ขอนแก่น!I551+ชัยภูมิ!I551+นครพนม!I551+นครราชสีมา!I551+บึงกาฬ!I551+บุรีรัมย์!I551+มหาสารคาม!I551+มุกดาหาร!I551+ยโสธร!I551+ร้อยเอ็ด!I551+เลย!I551+ศรีสะเกษ!I551+สกลนคร!I551+สุรินทร์!I551+หนองคาย!I551+หนองบัวลำภู!I551+อำนาจเจริญ!I551+อุดรธานี!I551+อุบลราชธานี!I551</f>
        <v>25000</v>
      </c>
      <c r="J551" s="410">
        <f ca="1">กาฬสินธุ์!J551+ขอนแก่น!J551+ชัยภูมิ!J551+นครพนม!J551+นครราชสีมา!J551+บึงกาฬ!J551+บุรีรัมย์!J551+มหาสารคาม!J551+มุกดาหาร!J551+ยโสธร!J551+ร้อยเอ็ด!J551+เลย!J551+ศรีสะเกษ!J551+สกลนคร!J551+สุรินทร์!J551+หนองคาย!J551+หนองบัวลำภู!J551+อำนาจเจริญ!J551+อุดรธานี!J551+อุบลราชธานี!J551</f>
        <v>9076</v>
      </c>
      <c r="K551" s="411">
        <f ca="1">IF(I551&gt;0,J551*100/I551,0)</f>
        <v>36.304000000000002</v>
      </c>
      <c r="L551" s="412">
        <f ca="1">กาฬสินธุ์!L551+ขอนแก่น!L551+ชัยภูมิ!L551+นครพนม!L551+นครราชสีมา!L551+บึงกาฬ!L551+บุรีรัมย์!L551+มหาสารคาม!L551+มุกดาหาร!L551+ยโสธร!L551+ร้อยเอ็ด!L551+เลย!L551+ศรีสะเกษ!L551+สกลนคร!L551+สุรินทร์!L551+หนองคาย!L551+หนองบัวลำภู!L551+อำนาจเจริญ!L551+อุดรธานี!L551+อุบลราชธานี!L551</f>
        <v>1580000</v>
      </c>
      <c r="M551" s="412"/>
      <c r="N551" s="412">
        <f ca="1">กาฬสินธุ์!N551+ขอนแก่น!N551+ชัยภูมิ!N551+นครพนม!N551+นครราชสีมา!N551+บึงกาฬ!N551+บุรีรัมย์!N551+มหาสารคาม!N551+มุกดาหาร!N551+ยโสธร!N551+ร้อยเอ็ด!N551+เลย!N551+ศรีสะเกษ!N551+สกลนคร!N551+สุรินทร์!N551+หนองคาย!N551+หนองบัวลำภู!N551+อำนาจเจริญ!N551+อุดรธานี!N551+อุบลราชธานี!N551</f>
        <v>1098112.82</v>
      </c>
      <c r="O551" s="412">
        <f t="shared" ref="O551:O555" ca="1" si="89">+IF(L551&gt;0,N551*100/L551,0)</f>
        <v>69.500811392405069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กาฬสินธุ์!L552+ขอนแก่น!L552+ชัยภูมิ!L552+นครพนม!L552+นครราชสีมา!L552+บึงกาฬ!L552+บุรีรัมย์!L552+มหาสารคาม!L552+มุกดาหาร!L552+ยโสธร!L552+ร้อยเอ็ด!L552+เลย!L552+ศรีสะเกษ!L552+สกลนคร!L552+สุรินทร์!L552+หนองคาย!L552+หนองบัวลำภู!L552+อำนาจเจริญ!L552+อุดรธานี!L552+อุบลราชธานี!L552</f>
        <v>0</v>
      </c>
      <c r="M552" s="164"/>
      <c r="N552" s="169">
        <f ca="1">กาฬสินธุ์!N552+ขอนแก่น!N552+ชัยภูมิ!N552+นครพนม!N552+นครราชสีมา!N552+บึงกาฬ!N552+บุรีรัมย์!N552+มหาสารคาม!N552+มุกดาหาร!N552+ยโสธร!N552+ร้อยเอ็ด!N552+เลย!N552+ศรีสะเกษ!N552+สกลนคร!N552+สุรินทร์!N552+หนองคาย!N552+หนองบัวลำภู!N552+อำนาจเจริญ!N552+อุดรธานี!N552+อุบลราชธานี!N552</f>
        <v>0</v>
      </c>
      <c r="O552" s="169">
        <f t="shared" ca="1" si="89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กาฬสินธุ์!L553+ขอนแก่น!L553+ชัยภูมิ!L553+นครพนม!L553+นครราชสีมา!L553+บึงกาฬ!L553+บุรีรัมย์!L553+มหาสารคาม!L553+มุกดาหาร!L553+ยโสธร!L553+ร้อยเอ็ด!L553+เลย!L553+ศรีสะเกษ!L553+สกลนคร!L553+สุรินทร์!L553+หนองคาย!L553+หนองบัวลำภู!L553+อำนาจเจริญ!L553+อุดรธานี!L553+อุบลราชธานี!L553</f>
        <v>1580000</v>
      </c>
      <c r="M553" s="165"/>
      <c r="N553" s="169">
        <f ca="1">กาฬสินธุ์!N553+ขอนแก่น!N553+ชัยภูมิ!N553+นครพนม!N553+นครราชสีมา!N553+บึงกาฬ!N553+บุรีรัมย์!N553+มหาสารคาม!N553+มุกดาหาร!N553+ยโสธร!N553+ร้อยเอ็ด!N553+เลย!N553+ศรีสะเกษ!N553+สกลนคร!N553+สุรินทร์!N553+หนองคาย!N553+หนองบัวลำภู!N553+อำนาจเจริญ!N553+อุดรธานี!N553+อุบลราชธานี!N553</f>
        <v>1098112.82</v>
      </c>
      <c r="O553" s="169">
        <f t="shared" ca="1" si="89"/>
        <v>69.500811392405069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กาฬสินธุ์!L554+ขอนแก่น!L554+ชัยภูมิ!L554+นครพนม!L554+นครราชสีมา!L554+บึงกาฬ!L554+บุรีรัมย์!L554+มหาสารคาม!L554+มุกดาหาร!L554+ยโสธร!L554+ร้อยเอ็ด!L554+เลย!L554+ศรีสะเกษ!L554+สกลนคร!L554+สุรินทร์!L554+หนองคาย!L554+หนองบัวลำภู!L554+อำนาจเจริญ!L554+อุดรธานี!L554+อุบลราชธานี!L554</f>
        <v>0</v>
      </c>
      <c r="M554" s="169"/>
      <c r="N554" s="169">
        <f ca="1">กาฬสินธุ์!N554+ขอนแก่น!N554+ชัยภูมิ!N554+นครพนม!N554+นครราชสีมา!N554+บึงกาฬ!N554+บุรีรัมย์!N554+มหาสารคาม!N554+มุกดาหาร!N554+ยโสธร!N554+ร้อยเอ็ด!N554+เลย!N554+ศรีสะเกษ!N554+สกลนคร!N554+สุรินทร์!N554+หนองคาย!N554+หนองบัวลำภู!N554+อำนาจเจริญ!N554+อุดรธานี!N554+อุบลราชธานี!N554</f>
        <v>0</v>
      </c>
      <c r="O554" s="169">
        <f t="shared" ca="1" si="89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กาฬสินธุ์!L555+ขอนแก่น!L555+ชัยภูมิ!L555+นครพนม!L555+นครราชสีมา!L555+บึงกาฬ!L555+บุรีรัมย์!L555+มหาสารคาม!L555+มุกดาหาร!L555+ยโสธร!L555+ร้อยเอ็ด!L555+เลย!L555+ศรีสะเกษ!L555+สกลนคร!L555+สุรินทร์!L555+หนองคาย!L555+หนองบัวลำภู!L555+อำนาจเจริญ!L555+อุดรธานี!L555+อุบลราชธานี!L555</f>
        <v>1580000</v>
      </c>
      <c r="M555" s="169"/>
      <c r="N555" s="169">
        <f ca="1">กาฬสินธุ์!N555+ขอนแก่น!N555+ชัยภูมิ!N555+นครพนม!N555+นครราชสีมา!N555+บึงกาฬ!N555+บุรีรัมย์!N555+มหาสารคาม!N555+มุกดาหาร!N555+ยโสธร!N555+ร้อยเอ็ด!N555+เลย!N555+ศรีสะเกษ!N555+สกลนคร!N555+สุรินทร์!N555+หนองคาย!N555+หนองบัวลำภู!N555+อำนาจเจริญ!N555+อุดรธานี!N555+อุบลราชธานี!N555</f>
        <v>1098112.82</v>
      </c>
      <c r="O555" s="169">
        <f t="shared" ca="1" si="89"/>
        <v>69.500811392405069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กาฬสินธุ์!N556+ขอนแก่น!N556+ชัยภูมิ!N556+นครพนม!N556+นครราชสีมา!N556+บึงกาฬ!N556+บุรีรัมย์!N556+มหาสารคาม!N556+มุกดาหาร!N556+ยโสธร!N556+ร้อยเอ็ด!N556+เลย!N556+ศรีสะเกษ!N556+สกลนคร!N556+สุรินทร์!N556+หนองคาย!N556+หนองบัวลำภู!N556+อำนาจเจริญ!N556+อุดรธานี!N556+อุบลราชธานี!N556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กาฬสินธุ์!N557+ขอนแก่น!N557+ชัยภูมิ!N557+นครพนม!N557+นครราชสีมา!N557+บึงกาฬ!N557+บุรีรัมย์!N557+มหาสารคาม!N557+มุกดาหาร!N557+ยโสธร!N557+ร้อยเอ็ด!N557+เลย!N557+ศรีสะเกษ!N557+สกลนคร!N557+สุรินทร์!N557+หนองคาย!N557+หนองบัวลำภู!N557+อำนาจเจริญ!N557+อุดรธานี!N557+อุบลราชธานี!N557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กาฬสินธุ์!N558+ขอนแก่น!N558+ชัยภูมิ!N558+นครพนม!N558+นครราชสีมา!N558+บึงกาฬ!N558+บุรีรัมย์!N558+มหาสารคาม!N558+มุกดาหาร!N558+ยโสธร!N558+ร้อยเอ็ด!N558+เลย!N558+ศรีสะเกษ!N558+สกลนคร!N558+สุรินทร์!N558+หนองคาย!N558+หนองบัวลำภู!N558+อำนาจเจริญ!N558+อุดรธานี!N558+อุบลราชธานี!N558</f>
        <v>129941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กาฬสินธุ์!N559+ขอนแก่น!N559+ชัยภูมิ!N559+นครพนม!N559+นครราชสีมา!N559+บึงกาฬ!N559+บุรีรัมย์!N559+มหาสารคาม!N559+มุกดาหาร!N559+ยโสธร!N559+ร้อยเอ็ด!N559+เลย!N559+ศรีสะเกษ!N559+สกลนคร!N559+สุรินทร์!N559+หนองคาย!N559+หนองบัวลำภู!N559+อำนาจเจริญ!N559+อุดรธานี!N559+อุบลราชธานี!N559</f>
        <v>968171.82000000007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กาฬสินธุ์!I560+ขอนแก่น!I560+ชัยภูมิ!I560+นครพนม!I560+นครราชสีมา!I560+บึงกาฬ!I560+บุรีรัมย์!I560+มหาสารคาม!I560+มุกดาหาร!I560+ยโสธร!I560+ร้อยเอ็ด!I560+เลย!I560+ศรีสะเกษ!I560+สกลนคร!I560+สุรินทร์!I560+หนองคาย!I560+หนองบัวลำภู!I560+อำนาจเจริญ!I560+อุดรธานี!I560+อุบลราชธานี!I560</f>
        <v>25000</v>
      </c>
      <c r="J560" s="162">
        <f ca="1">กาฬสินธุ์!J560+ขอนแก่น!J560+ชัยภูมิ!J560+นครพนม!J560+นครราชสีมา!J560+บึงกาฬ!J560+บุรีรัมย์!J560+มหาสารคาม!J560+มุกดาหาร!J560+ยโสธร!J560+ร้อยเอ็ด!J560+เลย!J560+ศรีสะเกษ!J560+สกลนคร!J560+สุรินทร์!J560+หนองคาย!J560+หนองบัวลำภู!J560+อำนาจเจริญ!J560+อุดรธานี!J560+อุบลราชธานี!J560</f>
        <v>9076</v>
      </c>
      <c r="K560" s="224">
        <f t="shared" ref="K560:K561" ca="1" si="90">IF(I560&gt;0,J560*100/I560,0)</f>
        <v>36.304000000000002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กาฬสินธุ์!I561+ขอนแก่น!I561+ชัยภูมิ!I561+นครพนม!I561+นครราชสีมา!I561+บึงกาฬ!I561+บุรีรัมย์!I561+มหาสารคาม!I561+มุกดาหาร!I561+ยโสธร!I561+ร้อยเอ็ด!I561+เลย!I561+ศรีสะเกษ!I561+สกลนคร!I561+สุรินทร์!I561+หนองคาย!I561+หนองบัวลำภู!I561+อำนาจเจริญ!I561+อุดรธานี!I561+อุบลราชธานี!I561</f>
        <v>0</v>
      </c>
      <c r="J561" s="204">
        <f ca="1">กาฬสินธุ์!J561+ขอนแก่น!J561+ชัยภูมิ!J561+นครพนม!J561+นครราชสีมา!J561+บึงกาฬ!J561+บุรีรัมย์!J561+มหาสารคาม!J561+มุกดาหาร!J561+ยโสธร!J561+ร้อยเอ็ด!J561+เลย!J561+ศรีสะเกษ!J561+สกลนคร!J561+สุรินทร์!J561+หนองคาย!J561+หนองบัวลำภู!J561+อำนาจเจริญ!J561+อุดรธานี!J561+อุบลราชธานี!J561</f>
        <v>600</v>
      </c>
      <c r="K561" s="224">
        <f t="shared" ca="1" si="90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กาฬสินธุ์!I564+ขอนแก่น!I564+ชัยภูมิ!I564+นครพนม!I564+นครราชสีมา!I564+บึงกาฬ!I564+บุรีรัมย์!I564+มหาสารคาม!I564+มุกดาหาร!I564+ยโสธร!I564+ร้อยเอ็ด!I564+เลย!I564+ศรีสะเกษ!I564+สกลนคร!I564+สุรินทร์!I564+หนองคาย!I564+หนองบัวลำภู!I564+อำนาจเจริญ!I564+อุดรธานี!I564+อุบลราชธานี!I564</f>
        <v>75510</v>
      </c>
      <c r="J564" s="371">
        <f ca="1">กาฬสินธุ์!J564+ขอนแก่น!J564+ชัยภูมิ!J564+นครพนม!J564+นครราชสีมา!J564+บึงกาฬ!J564+บุรีรัมย์!J564+มหาสารคาม!J564+มุกดาหาร!J564+ยโสธร!J564+ร้อยเอ็ด!J564+เลย!J564+ศรีสะเกษ!J564+สกลนคร!J564+สุรินทร์!J564+หนองคาย!J564+หนองบัวลำภู!J564+อำนาจเจริญ!J564+อุดรธานี!J564+อุบลราชธานี!J564</f>
        <v>77671</v>
      </c>
      <c r="K564" s="372">
        <f ca="1">IF(I564&gt;0,J564*100/I564,0)</f>
        <v>102.86187259965567</v>
      </c>
      <c r="L564" s="373">
        <f ca="1">กาฬสินธุ์!L564+ขอนแก่น!L564+ชัยภูมิ!L564+นครพนม!L564+นครราชสีมา!L564+บึงกาฬ!L564+บุรีรัมย์!L564+มหาสารคาม!L564+มุกดาหาร!L564+ยโสธร!L564+ร้อยเอ็ด!L564+เลย!L564+ศรีสะเกษ!L564+สกลนคร!L564+สุรินทร์!L564+หนองคาย!L564+หนองบัวลำภู!L564+อำนาจเจริญ!L564+อุดรธานี!L564+อุบลราชธานี!L564</f>
        <v>3178880</v>
      </c>
      <c r="M564" s="373"/>
      <c r="N564" s="373">
        <f ca="1">กาฬสินธุ์!N564+ขอนแก่น!N564+ชัยภูมิ!N564+นครพนม!N564+นครราชสีมา!N564+บึงกาฬ!N564+บุรีรัมย์!N564+มหาสารคาม!N564+มุกดาหาร!N564+ยโสธร!N564+ร้อยเอ็ด!N564+เลย!N564+ศรีสะเกษ!N564+สกลนคร!N564+สุรินทร์!N564+หนองคาย!N564+หนองบัวลำภู!N564+อำนาจเจริญ!N564+อุดรธานี!N564+อุบลราชธานี!N564</f>
        <v>1615115.5200000003</v>
      </c>
      <c r="O564" s="373">
        <f t="shared" ref="O564:O568" ca="1" si="91">+IF(L564&gt;0,N564*100/L564,0)</f>
        <v>50.807690759009475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กาฬสินธุ์!L565+ขอนแก่น!L565+ชัยภูมิ!L565+นครพนม!L565+นครราชสีมา!L565+บึงกาฬ!L565+บุรีรัมย์!L565+มหาสารคาม!L565+มุกดาหาร!L565+ยโสธร!L565+ร้อยเอ็ด!L565+เลย!L565+ศรีสะเกษ!L565+สกลนคร!L565+สุรินทร์!L565+หนองคาย!L565+หนองบัวลำภู!L565+อำนาจเจริญ!L565+อุดรธานี!L565+อุบลราชธานี!L565</f>
        <v>0</v>
      </c>
      <c r="M565" s="164"/>
      <c r="N565" s="169">
        <f ca="1">กาฬสินธุ์!N565+ขอนแก่น!N565+ชัยภูมิ!N565+นครพนม!N565+นครราชสีมา!N565+บึงกาฬ!N565+บุรีรัมย์!N565+มหาสารคาม!N565+มุกดาหาร!N565+ยโสธร!N565+ร้อยเอ็ด!N565+เลย!N565+ศรีสะเกษ!N565+สกลนคร!N565+สุรินทร์!N565+หนองคาย!N565+หนองบัวลำภู!N565+อำนาจเจริญ!N565+อุดรธานี!N565+อุบลราชธานี!N565</f>
        <v>0</v>
      </c>
      <c r="O565" s="169">
        <f t="shared" ca="1" si="91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กาฬสินธุ์!L566+ขอนแก่น!L566+ชัยภูมิ!L566+นครพนม!L566+นครราชสีมา!L566+บึงกาฬ!L566+บุรีรัมย์!L566+มหาสารคาม!L566+มุกดาหาร!L566+ยโสธร!L566+ร้อยเอ็ด!L566+เลย!L566+ศรีสะเกษ!L566+สกลนคร!L566+สุรินทร์!L566+หนองคาย!L566+หนองบัวลำภู!L566+อำนาจเจริญ!L566+อุดรธานี!L566+อุบลราชธานี!L566</f>
        <v>3178880</v>
      </c>
      <c r="M566" s="165"/>
      <c r="N566" s="169">
        <f ca="1">กาฬสินธุ์!N566+ขอนแก่น!N566+ชัยภูมิ!N566+นครพนม!N566+นครราชสีมา!N566+บึงกาฬ!N566+บุรีรัมย์!N566+มหาสารคาม!N566+มุกดาหาร!N566+ยโสธร!N566+ร้อยเอ็ด!N566+เลย!N566+ศรีสะเกษ!N566+สกลนคร!N566+สุรินทร์!N566+หนองคาย!N566+หนองบัวลำภู!N566+อำนาจเจริญ!N566+อุดรธานี!N566+อุบลราชธานี!N566</f>
        <v>1615115.5200000003</v>
      </c>
      <c r="O566" s="169">
        <f t="shared" ca="1" si="91"/>
        <v>50.807690759009475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กาฬสินธุ์!L567+ขอนแก่น!L567+ชัยภูมิ!L567+นครพนม!L567+นครราชสีมา!L567+บึงกาฬ!L567+บุรีรัมย์!L567+มหาสารคาม!L567+มุกดาหาร!L567+ยโสธร!L567+ร้อยเอ็ด!L567+เลย!L567+ศรีสะเกษ!L567+สกลนคร!L567+สุรินทร์!L567+หนองคาย!L567+หนองบัวลำภู!L567+อำนาจเจริญ!L567+อุดรธานี!L567+อุบลราชธานี!L567</f>
        <v>0</v>
      </c>
      <c r="M567" s="169"/>
      <c r="N567" s="169">
        <f ca="1">กาฬสินธุ์!N567+ขอนแก่น!N567+ชัยภูมิ!N567+นครพนม!N567+นครราชสีมา!N567+บึงกาฬ!N567+บุรีรัมย์!N567+มหาสารคาม!N567+มุกดาหาร!N567+ยโสธร!N567+ร้อยเอ็ด!N567+เลย!N567+ศรีสะเกษ!N567+สกลนคร!N567+สุรินทร์!N567+หนองคาย!N567+หนองบัวลำภู!N567+อำนาจเจริญ!N567+อุดรธานี!N567+อุบลราชธานี!N567</f>
        <v>0</v>
      </c>
      <c r="O567" s="169">
        <f t="shared" ca="1" si="91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กาฬสินธุ์!L568+ขอนแก่น!L568+ชัยภูมิ!L568+นครพนม!L568+นครราชสีมา!L568+บึงกาฬ!L568+บุรีรัมย์!L568+มหาสารคาม!L568+มุกดาหาร!L568+ยโสธร!L568+ร้อยเอ็ด!L568+เลย!L568+ศรีสะเกษ!L568+สกลนคร!L568+สุรินทร์!L568+หนองคาย!L568+หนองบัวลำภู!L568+อำนาจเจริญ!L568+อุดรธานี!L568+อุบลราชธานี!L568</f>
        <v>3178880</v>
      </c>
      <c r="M568" s="169"/>
      <c r="N568" s="169">
        <f ca="1">กาฬสินธุ์!N568+ขอนแก่น!N568+ชัยภูมิ!N568+นครพนม!N568+นครราชสีมา!N568+บึงกาฬ!N568+บุรีรัมย์!N568+มหาสารคาม!N568+มุกดาหาร!N568+ยโสธร!N568+ร้อยเอ็ด!N568+เลย!N568+ศรีสะเกษ!N568+สกลนคร!N568+สุรินทร์!N568+หนองคาย!N568+หนองบัวลำภู!N568+อำนาจเจริญ!N568+อุดรธานี!N568+อุบลราชธานี!N568</f>
        <v>1615115.5200000003</v>
      </c>
      <c r="O568" s="169">
        <f t="shared" ca="1" si="91"/>
        <v>50.807690759009475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กาฬสินธุ์!N569+ขอนแก่น!N569+ชัยภูมิ!N569+นครพนม!N569+นครราชสีมา!N569+บึงกาฬ!N569+บุรีรัมย์!N569+มหาสารคาม!N569+มุกดาหาร!N569+ยโสธร!N569+ร้อยเอ็ด!N569+เลย!N569+ศรีสะเกษ!N569+สกลนคร!N569+สุรินทร์!N569+หนองคาย!N569+หนองบัวลำภู!N569+อำนาจเจริญ!N569+อุดรธานี!N569+อุบลราชธานี!N569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กาฬสินธุ์!N570+ขอนแก่น!N570+ชัยภูมิ!N570+นครพนม!N570+นครราชสีมา!N570+บึงกาฬ!N570+บุรีรัมย์!N570+มหาสารคาม!N570+มุกดาหาร!N570+ยโสธร!N570+ร้อยเอ็ด!N570+เลย!N570+ศรีสะเกษ!N570+สกลนคร!N570+สุรินทร์!N570+หนองคาย!N570+หนองบัวลำภู!N570+อำนาจเจริญ!N570+อุดรธานี!N570+อุบลราชธานี!N570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กาฬสินธุ์!N571+ขอนแก่น!N571+ชัยภูมิ!N571+นครพนม!N571+นครราชสีมา!N571+บึงกาฬ!N571+บุรีรัมย์!N571+มหาสารคาม!N571+มุกดาหาร!N571+ยโสธร!N571+ร้อยเอ็ด!N571+เลย!N571+ศรีสะเกษ!N571+สกลนคร!N571+สุรินทร์!N571+หนองคาย!N571+หนองบัวลำภู!N571+อำนาจเจริญ!N571+อุดรธานี!N571+อุบลราชธานี!N571</f>
        <v>1025539.66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กาฬสินธุ์!N572+ขอนแก่น!N572+ชัยภูมิ!N572+นครพนม!N572+นครราชสีมา!N572+บึงกาฬ!N572+บุรีรัมย์!N572+มหาสารคาม!N572+มุกดาหาร!N572+ยโสธร!N572+ร้อยเอ็ด!N572+เลย!N572+ศรีสะเกษ!N572+สกลนคร!N572+สุรินทร์!N572+หนองคาย!N572+หนองบัวลำภู!N572+อำนาจเจริญ!N572+อุดรธานี!N572+อุบลราชธานี!N572</f>
        <v>589575.86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กาฬสินธุ์!I573+ขอนแก่น!I573+ชัยภูมิ!I573+นครพนม!I573+นครราชสีมา!I573+บึงกาฬ!I573+บุรีรัมย์!I573+มหาสารคาม!I573+มุกดาหาร!I573+ยโสธร!I573+ร้อยเอ็ด!I573+เลย!I573+ศรีสะเกษ!I573+สกลนคร!I573+สุรินทร์!I573+หนองคาย!I573+หนองบัวลำภู!I573+อำนาจเจริญ!I573+อุดรธานี!I573+อุบลราชธานี!I573</f>
        <v>75510</v>
      </c>
      <c r="J573" s="420">
        <f ca="1">กาฬสินธุ์!J573+ขอนแก่น!J573+ชัยภูมิ!J573+นครพนม!J573+นครราชสีมา!J573+บึงกาฬ!J573+บุรีรัมย์!J573+มหาสารคาม!J573+มุกดาหาร!J573+ยโสธร!J573+ร้อยเอ็ด!J573+เลย!J573+ศรีสะเกษ!J573+สกลนคร!J573+สุรินทร์!J573+หนองคาย!J573+หนองบัวลำภู!J573+อำนาจเจริญ!J573+อุดรธานี!J573+อุบลราชธานี!J573</f>
        <v>77671</v>
      </c>
      <c r="K573" s="202">
        <f ca="1">IF(I573&gt;0,J573*100/I573,0)</f>
        <v>102.86187259965567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กาฬสินธุ์!I575+ขอนแก่น!I575+ชัยภูมิ!I575+นครพนม!I575+นครราชสีมา!I575+บึงกาฬ!I575+บุรีรัมย์!I575+มหาสารคาม!I575+มุกดาหาร!I575+ยโสธร!I575+ร้อยเอ็ด!I575+เลย!I575+ศรีสะเกษ!I575+สกลนคร!I575+สุรินทร์!I575+หนองคาย!I575+หนองบัวลำภู!I575+อำนาจเจริญ!I575+อุดรธานี!I575+อุบลราชธานี!I575</f>
        <v>16</v>
      </c>
      <c r="J575" s="198">
        <f ca="1">กาฬสินธุ์!J575+ขอนแก่น!J575+ชัยภูมิ!J575+นครพนม!J575+นครราชสีมา!J575+บึงกาฬ!J575+บุรีรัมย์!J575+มหาสารคาม!J575+มุกดาหาร!J575+ยโสธร!J575+ร้อยเอ็ด!J575+เลย!J575+ศรีสะเกษ!J575+สกลนคร!J575+สุรินทร์!J575+หนองคาย!J575+หนองบัวลำภู!J575+อำนาจเจริญ!J575+อุดรธานี!J575+อุบลราชธานี!J575</f>
        <v>73</v>
      </c>
      <c r="K575" s="163">
        <f t="shared" ref="K575:K579" ca="1" si="92">IF(I575&gt;0,J575*100/I575,0)</f>
        <v>456.25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กาฬสินธุ์!I576+ขอนแก่น!I576+ชัยภูมิ!I576+นครพนม!I576+นครราชสีมา!I576+บึงกาฬ!I576+บุรีรัมย์!I576+มหาสารคาม!I576+มุกดาหาร!I576+ยโสธร!I576+ร้อยเอ็ด!I576+เลย!I576+ศรีสะเกษ!I576+สกลนคร!I576+สุรินทร์!I576+หนองคาย!I576+หนองบัวลำภู!I576+อำนาจเจริญ!I576+อุดรธานี!I576+อุบลราชธานี!I576</f>
        <v>0</v>
      </c>
      <c r="J576" s="198">
        <f ca="1">กาฬสินธุ์!J576+ขอนแก่น!J576+ชัยภูมิ!J576+นครพนม!J576+นครราชสีมา!J576+บึงกาฬ!J576+บุรีรัมย์!J576+มหาสารคาม!J576+มุกดาหาร!J576+ยโสธร!J576+ร้อยเอ็ด!J576+เลย!J576+ศรีสะเกษ!J576+สกลนคร!J576+สุรินทร์!J576+หนองคาย!J576+หนองบัวลำภู!J576+อำนาจเจริญ!J576+อุดรธานี!J576+อุบลราชธานี!J576</f>
        <v>6172</v>
      </c>
      <c r="K576" s="163">
        <f t="shared" ca="1" si="92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กาฬสินธุ์!I577+ขอนแก่น!I577+ชัยภูมิ!I577+นครพนม!I577+นครราชสีมา!I577+บึงกาฬ!I577+บุรีรัมย์!I577+มหาสารคาม!I577+มุกดาหาร!I577+ยโสธร!I577+ร้อยเอ็ด!I577+เลย!I577+ศรีสะเกษ!I577+สกลนคร!I577+สุรินทร์!I577+หนองคาย!I577+หนองบัวลำภู!I577+อำนาจเจริญ!I577+อุดรธานี!I577+อุบลราชธานี!I577</f>
        <v>0</v>
      </c>
      <c r="J577" s="189">
        <f ca="1">กาฬสินธุ์!J577+ขอนแก่น!J577+ชัยภูมิ!J577+นครพนม!J577+นครราชสีมา!J577+บึงกาฬ!J577+บุรีรัมย์!J577+มหาสารคาม!J577+มุกดาหาร!J577+ยโสธร!J577+ร้อยเอ็ด!J577+เลย!J577+ศรีสะเกษ!J577+สกลนคร!J577+สุรินทร์!J577+หนองคาย!J577+หนองบัวลำภู!J577+อำนาจเจริญ!J577+อุดรธานี!J577+อุบลราชธานี!J577</f>
        <v>70879</v>
      </c>
      <c r="K577" s="163">
        <f t="shared" ca="1" si="92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กาฬสินธุ์!I578+ขอนแก่น!I578+ชัยภูมิ!I578+นครพนม!I578+นครราชสีมา!I578+บึงกาฬ!I578+บุรีรัมย์!I578+มหาสารคาม!I578+มุกดาหาร!I578+ยโสธร!I578+ร้อยเอ็ด!I578+เลย!I578+ศรีสะเกษ!I578+สกลนคร!I578+สุรินทร์!I578+หนองคาย!I578+หนองบัวลำภู!I578+อำนาจเจริญ!I578+อุดรธานี!I578+อุบลราชธานี!I578</f>
        <v>0</v>
      </c>
      <c r="J578" s="198">
        <f ca="1">กาฬสินธุ์!J578+ขอนแก่น!J578+ชัยภูมิ!J578+นครพนม!J578+นครราชสีมา!J578+บึงกาฬ!J578+บุรีรัมย์!J578+มหาสารคาม!J578+มุกดาหาร!J578+ยโสธร!J578+ร้อยเอ็ด!J578+เลย!J578+ศรีสะเกษ!J578+สกลนคร!J578+สุรินทร์!J578+หนองคาย!J578+หนองบัวลำภู!J578+อำนาจเจริญ!J578+อุดรธานี!J578+อุบลราชธานี!J578</f>
        <v>115</v>
      </c>
      <c r="K578" s="163">
        <f t="shared" ca="1" si="92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กาฬสินธุ์!I579+ขอนแก่น!I579+ชัยภูมิ!I579+นครพนม!I579+นครราชสีมา!I579+บึงกาฬ!I579+บุรีรัมย์!I579+มหาสารคาม!I579+มุกดาหาร!I579+ยโสธร!I579+ร้อยเอ็ด!I579+เลย!I579+ศรีสะเกษ!I579+สกลนคร!I579+สุรินทร์!I579+หนองคาย!I579+หนองบัวลำภู!I579+อำนาจเจริญ!I579+อุดรธานี!I579+อุบลราชธานี!I579</f>
        <v>0</v>
      </c>
      <c r="J579" s="198">
        <f ca="1">กาฬสินธุ์!J579+ขอนแก่น!J579+ชัยภูมิ!J579+นครพนม!J579+นครราชสีมา!J579+บึงกาฬ!J579+บุรีรัมย์!J579+มหาสารคาม!J579+มุกดาหาร!J579+ยโสธร!J579+ร้อยเอ็ด!J579+เลย!J579+ศรีสะเกษ!J579+สกลนคร!J579+สุรินทร์!J579+หนองคาย!J579+หนองบัวลำภู!J579+อำนาจเจริญ!J579+อุดรธานี!J579+อุบลราชธานี!J579</f>
        <v>505</v>
      </c>
      <c r="K579" s="163">
        <f t="shared" ca="1" si="92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กาฬสินธุ์!I580+ขอนแก่น!I580+ชัยภูมิ!I580+นครพนม!I580+นครราชสีมา!I580+บึงกาฬ!I580+บุรีรัมย์!I580+มหาสารคาม!I580+มุกดาหาร!I580+ยโสธร!I580+ร้อยเอ็ด!I580+เลย!I580+ศรีสะเกษ!I580+สกลนคร!I580+สุรินทร์!I580+หนองคาย!I580+หนองบัวลำภู!I580+อำนาจเจริญ!I580+อุดรธานี!I580+อุบลราชธานี!I580</f>
        <v>3582</v>
      </c>
      <c r="J580" s="371">
        <f ca="1">กาฬสินธุ์!J580+ขอนแก่น!J580+ชัยภูมิ!J580+นครพนม!J580+นครราชสีมา!J580+บึงกาฬ!J580+บุรีรัมย์!J580+มหาสารคาม!J580+มุกดาหาร!J580+ยโสธร!J580+ร้อยเอ็ด!J580+เลย!J580+ศรีสะเกษ!J580+สกลนคร!J580+สุรินทร์!J580+หนองคาย!J580+หนองบัวลำภู!J580+อำนาจเจริญ!J580+อุดรธานี!J580+อุบลราชธานี!J580</f>
        <v>168</v>
      </c>
      <c r="K580" s="372">
        <f ca="1">IF(I580&gt;0,J580*100/I580,0)</f>
        <v>4.6901172529313229</v>
      </c>
      <c r="L580" s="373">
        <f ca="1">กาฬสินธุ์!L580+ขอนแก่น!L580+ชัยภูมิ!L580+นครพนม!L580+นครราชสีมา!L580+บึงกาฬ!L580+บุรีรัมย์!L580+มหาสารคาม!L580+มุกดาหาร!L580+ยโสธร!L580+ร้อยเอ็ด!L580+เลย!L580+ศรีสะเกษ!L580+สกลนคร!L580+สุรินทร์!L580+หนองคาย!L580+หนองบัวลำภู!L580+อำนาจเจริญ!L580+อุดรธานี!L580+อุบลราชธานี!L580</f>
        <v>5069674</v>
      </c>
      <c r="M580" s="373"/>
      <c r="N580" s="373">
        <f ca="1">กาฬสินธุ์!N580+ขอนแก่น!N580+ชัยภูมิ!N580+นครพนม!N580+นครราชสีมา!N580+บึงกาฬ!N580+บุรีรัมย์!N580+มหาสารคาม!N580+มุกดาหาร!N580+ยโสธร!N580+ร้อยเอ็ด!N580+เลย!N580+ศรีสะเกษ!N580+สกลนคร!N580+สุรินทร์!N580+หนองคาย!N580+หนองบัวลำภู!N580+อำนาจเจริญ!N580+อุดรธานี!N580+อุบลราชธานี!N580</f>
        <v>1838932.1600000001</v>
      </c>
      <c r="O580" s="373">
        <f t="shared" ref="O580:O584" ca="1" si="93">+IF(L580&gt;0,N580*100/L580,0)</f>
        <v>36.273183640604898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กาฬสินธุ์!L581+ขอนแก่น!L581+ชัยภูมิ!L581+นครพนม!L581+นครราชสีมา!L581+บึงกาฬ!L581+บุรีรัมย์!L581+มหาสารคาม!L581+มุกดาหาร!L581+ยโสธร!L581+ร้อยเอ็ด!L581+เลย!L581+ศรีสะเกษ!L581+สกลนคร!L581+สุรินทร์!L581+หนองคาย!L581+หนองบัวลำภู!L581+อำนาจเจริญ!L581+อุดรธานี!L581+อุบลราชธานี!L581</f>
        <v>0</v>
      </c>
      <c r="M581" s="164"/>
      <c r="N581" s="169">
        <f ca="1">กาฬสินธุ์!N581+ขอนแก่น!N581+ชัยภูมิ!N581+นครพนม!N581+นครราชสีมา!N581+บึงกาฬ!N581+บุรีรัมย์!N581+มหาสารคาม!N581+มุกดาหาร!N581+ยโสธร!N581+ร้อยเอ็ด!N581+เลย!N581+ศรีสะเกษ!N581+สกลนคร!N581+สุรินทร์!N581+หนองคาย!N581+หนองบัวลำภู!N581+อำนาจเจริญ!N581+อุดรธานี!N581+อุบลราชธานี!N581</f>
        <v>0</v>
      </c>
      <c r="O581" s="169">
        <f t="shared" ca="1" si="93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กาฬสินธุ์!L582+ขอนแก่น!L582+ชัยภูมิ!L582+นครพนม!L582+นครราชสีมา!L582+บึงกาฬ!L582+บุรีรัมย์!L582+มหาสารคาม!L582+มุกดาหาร!L582+ยโสธร!L582+ร้อยเอ็ด!L582+เลย!L582+ศรีสะเกษ!L582+สกลนคร!L582+สุรินทร์!L582+หนองคาย!L582+หนองบัวลำภู!L582+อำนาจเจริญ!L582+อุดรธานี!L582+อุบลราชธานี!L582</f>
        <v>5069674</v>
      </c>
      <c r="M582" s="165"/>
      <c r="N582" s="169">
        <f ca="1">กาฬสินธุ์!N582+ขอนแก่น!N582+ชัยภูมิ!N582+นครพนม!N582+นครราชสีมา!N582+บึงกาฬ!N582+บุรีรัมย์!N582+มหาสารคาม!N582+มุกดาหาร!N582+ยโสธร!N582+ร้อยเอ็ด!N582+เลย!N582+ศรีสะเกษ!N582+สกลนคร!N582+สุรินทร์!N582+หนองคาย!N582+หนองบัวลำภู!N582+อำนาจเจริญ!N582+อุดรธานี!N582+อุบลราชธานี!N582</f>
        <v>1838932.1600000001</v>
      </c>
      <c r="O582" s="169">
        <f t="shared" ca="1" si="93"/>
        <v>36.273183640604898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กาฬสินธุ์!L583+ขอนแก่น!L583+ชัยภูมิ!L583+นครพนม!L583+นครราชสีมา!L583+บึงกาฬ!L583+บุรีรัมย์!L583+มหาสารคาม!L583+มุกดาหาร!L583+ยโสธร!L583+ร้อยเอ็ด!L583+เลย!L583+ศรีสะเกษ!L583+สกลนคร!L583+สุรินทร์!L583+หนองคาย!L583+หนองบัวลำภู!L583+อำนาจเจริญ!L583+อุดรธานี!L583+อุบลราชธานี!L583</f>
        <v>0</v>
      </c>
      <c r="M583" s="169"/>
      <c r="N583" s="169">
        <f ca="1">กาฬสินธุ์!N583+ขอนแก่น!N583+ชัยภูมิ!N583+นครพนม!N583+นครราชสีมา!N583+บึงกาฬ!N583+บุรีรัมย์!N583+มหาสารคาม!N583+มุกดาหาร!N583+ยโสธร!N583+ร้อยเอ็ด!N583+เลย!N583+ศรีสะเกษ!N583+สกลนคร!N583+สุรินทร์!N583+หนองคาย!N583+หนองบัวลำภู!N583+อำนาจเจริญ!N583+อุดรธานี!N583+อุบลราชธานี!N583</f>
        <v>0</v>
      </c>
      <c r="O583" s="169">
        <f t="shared" ca="1" si="93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กาฬสินธุ์!L584+ขอนแก่น!L584+ชัยภูมิ!L584+นครพนม!L584+นครราชสีมา!L584+บึงกาฬ!L584+บุรีรัมย์!L584+มหาสารคาม!L584+มุกดาหาร!L584+ยโสธร!L584+ร้อยเอ็ด!L584+เลย!L584+ศรีสะเกษ!L584+สกลนคร!L584+สุรินทร์!L584+หนองคาย!L584+หนองบัวลำภู!L584+อำนาจเจริญ!L584+อุดรธานี!L584+อุบลราชธานี!L584</f>
        <v>5069674</v>
      </c>
      <c r="M584" s="169"/>
      <c r="N584" s="169">
        <f ca="1">กาฬสินธุ์!N584+ขอนแก่น!N584+ชัยภูมิ!N584+นครพนม!N584+นครราชสีมา!N584+บึงกาฬ!N584+บุรีรัมย์!N584+มหาสารคาม!N584+มุกดาหาร!N584+ยโสธร!N584+ร้อยเอ็ด!N584+เลย!N584+ศรีสะเกษ!N584+สกลนคร!N584+สุรินทร์!N584+หนองคาย!N584+หนองบัวลำภู!N584+อำนาจเจริญ!N584+อุดรธานี!N584+อุบลราชธานี!N584</f>
        <v>1838932.1600000001</v>
      </c>
      <c r="O584" s="169">
        <f t="shared" ca="1" si="93"/>
        <v>36.273183640604898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กาฬสินธุ์!N585+ขอนแก่น!N585+ชัยภูมิ!N585+นครพนม!N585+นครราชสีมา!N585+บึงกาฬ!N585+บุรีรัมย์!N585+มหาสารคาม!N585+มุกดาหาร!N585+ยโสธร!N585+ร้อยเอ็ด!N585+เลย!N585+ศรีสะเกษ!N585+สกลนคร!N585+สุรินทร์!N585+หนองคาย!N585+หนองบัวลำภู!N585+อำนาจเจริญ!N585+อุดรธานี!N585+อุบลราชธานี!N585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กาฬสินธุ์!N586+ขอนแก่น!N586+ชัยภูมิ!N586+นครพนม!N586+นครราชสีมา!N586+บึงกาฬ!N586+บุรีรัมย์!N586+มหาสารคาม!N586+มุกดาหาร!N586+ยโสธร!N586+ร้อยเอ็ด!N586+เลย!N586+ศรีสะเกษ!N586+สกลนคร!N586+สุรินทร์!N586+หนองคาย!N586+หนองบัวลำภู!N586+อำนาจเจริญ!N586+อุดรธานี!N586+อุบลราชธานี!N586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กาฬสินธุ์!N587+ขอนแก่น!N587+ชัยภูมิ!N587+นครพนม!N587+นครราชสีมา!N587+บึงกาฬ!N587+บุรีรัมย์!N587+มหาสารคาม!N587+มุกดาหาร!N587+ยโสธร!N587+ร้อยเอ็ด!N587+เลย!N587+ศรีสะเกษ!N587+สกลนคร!N587+สุรินทร์!N587+หนองคาย!N587+หนองบัวลำภู!N587+อำนาจเจริญ!N587+อุดรธานี!N587+อุบลราชธานี!N587</f>
        <v>643812.95000000007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กาฬสินธุ์!N588+ขอนแก่น!N588+ชัยภูมิ!N588+นครพนม!N588+นครราชสีมา!N588+บึงกาฬ!N588+บุรีรัมย์!N588+มหาสารคาม!N588+มุกดาหาร!N588+ยโสธร!N588+ร้อยเอ็ด!N588+เลย!N588+ศรีสะเกษ!N588+สกลนคร!N588+สุรินทร์!N588+หนองคาย!N588+หนองบัวลำภู!N588+อำนาจเจริญ!N588+อุดรธานี!N588+อุบลราชธานี!N588</f>
        <v>1195119.21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กาฬสินธุ์!I589+ขอนแก่น!I589+ชัยภูมิ!I589+นครพนม!I589+นครราชสีมา!I589+บึงกาฬ!I589+บุรีรัมย์!I589+มหาสารคาม!I589+มุกดาหาร!I589+ยโสธร!I589+ร้อยเอ็ด!I589+เลย!I589+ศรีสะเกษ!I589+สกลนคร!I589+สุรินทร์!I589+หนองคาย!I589+หนองบัวลำภู!I589+อำนาจเจริญ!I589+อุดรธานี!I589+อุบลราชธานี!I589</f>
        <v>3582</v>
      </c>
      <c r="J589" s="188">
        <f ca="1">กาฬสินธุ์!J589+ขอนแก่น!J589+ชัยภูมิ!J589+นครพนม!J589+นครราชสีมา!J589+บึงกาฬ!J589+บุรีรัมย์!J589+มหาสารคาม!J589+มุกดาหาร!J589+ยโสธร!J589+ร้อยเอ็ด!J589+เลย!J589+ศรีสะเกษ!J589+สกลนคร!J589+สุรินทร์!J589+หนองคาย!J589+หนองบัวลำภู!J589+อำนาจเจริญ!J589+อุดรธานี!J589+อุบลราชธานี!J589</f>
        <v>1920</v>
      </c>
      <c r="K589" s="163">
        <f t="shared" ref="K589:K596" ca="1" si="94">IF(I589&gt;0,J589*100/I589,0)</f>
        <v>53.60134003350084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กาฬสินธุ์!I590+ขอนแก่น!I590+ชัยภูมิ!I590+นครพนม!I590+นครราชสีมา!I590+บึงกาฬ!I590+บุรีรัมย์!I590+มหาสารคาม!I590+มุกดาหาร!I590+ยโสธร!I590+ร้อยเอ็ด!I590+เลย!I590+ศรีสะเกษ!I590+สกลนคร!I590+สุรินทร์!I590+หนองคาย!I590+หนองบัวลำภู!I590+อำนาจเจริญ!I590+อุดรธานี!I590+อุบลราชธานี!I590</f>
        <v>0</v>
      </c>
      <c r="J590" s="188">
        <f ca="1">กาฬสินธุ์!J590+ขอนแก่น!J590+ชัยภูมิ!J590+นครพนม!J590+นครราชสีมา!J590+บึงกาฬ!J590+บุรีรัมย์!J590+มหาสารคาม!J590+มุกดาหาร!J590+ยโสธร!J590+ร้อยเอ็ด!J590+เลย!J590+ศรีสะเกษ!J590+สกลนคร!J590+สุรินทร์!J590+หนองคาย!J590+หนองบัวลำภู!J590+อำนาจเจริญ!J590+อุดรธานี!J590+อุบลราชธานี!J590</f>
        <v>1103.95</v>
      </c>
      <c r="K590" s="479">
        <f t="shared" ca="1" si="94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กาฬสินธุ์!I591+ขอนแก่น!I591+ชัยภูมิ!I591+นครพนม!I591+นครราชสีมา!I591+บึงกาฬ!I591+บุรีรัมย์!I591+มหาสารคาม!I591+มุกดาหาร!I591+ยโสธร!I591+ร้อยเอ็ด!I591+เลย!I591+ศรีสะเกษ!I591+สกลนคร!I591+สุรินทร์!I591+หนองคาย!I591+หนองบัวลำภู!I591+อำนาจเจริญ!I591+อุดรธานี!I591+อุบลราชธานี!I591</f>
        <v>3582</v>
      </c>
      <c r="J591" s="188">
        <f ca="1">กาฬสินธุ์!J591+ขอนแก่น!J591+ชัยภูมิ!J591+นครพนม!J591+นครราชสีมา!J591+บึงกาฬ!J591+บุรีรัมย์!J591+มหาสารคาม!J591+มุกดาหาร!J591+ยโสธร!J591+ร้อยเอ็ด!J591+เลย!J591+ศรีสะเกษ!J591+สกลนคร!J591+สุรินทร์!J591+หนองคาย!J591+หนองบัวลำภู!J591+อำนาจเจริญ!J591+อุดรธานี!J591+อุบลราชธานี!J591</f>
        <v>1154</v>
      </c>
      <c r="K591" s="163">
        <f t="shared" ca="1" si="94"/>
        <v>32.216638749302064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กาฬสินธุ์!I592+ขอนแก่น!I592+ชัยภูมิ!I592+นครพนม!I592+นครราชสีมา!I592+บึงกาฬ!I592+บุรีรัมย์!I592+มหาสารคาม!I592+มุกดาหาร!I592+ยโสธร!I592+ร้อยเอ็ด!I592+เลย!I592+ศรีสะเกษ!I592+สกลนคร!I592+สุรินทร์!I592+หนองคาย!I592+หนองบัวลำภู!I592+อำนาจเจริญ!I592+อุดรธานี!I592+อุบลราชธานี!I592</f>
        <v>0</v>
      </c>
      <c r="J592" s="188">
        <f ca="1">กาฬสินธุ์!J592+ขอนแก่น!J592+ชัยภูมิ!J592+นครพนม!J592+นครราชสีมา!J592+บึงกาฬ!J592+บุรีรัมย์!J592+มหาสารคาม!J592+มุกดาหาร!J592+ยโสธร!J592+ร้อยเอ็ด!J592+เลย!J592+ศรีสะเกษ!J592+สกลนคร!J592+สุรินทร์!J592+หนองคาย!J592+หนองบัวลำภู!J592+อำนาจเจริญ!J592+อุดรธานี!J592+อุบลราชธานี!J592</f>
        <v>678.25000000000011</v>
      </c>
      <c r="K592" s="342">
        <f t="shared" ca="1" si="94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กาฬสินธุ์!I593+ขอนแก่น!I593+ชัยภูมิ!I593+นครพนม!I593+นครราชสีมา!I593+บึงกาฬ!I593+บุรีรัมย์!I593+มหาสารคาม!I593+มุกดาหาร!I593+ยโสธร!I593+ร้อยเอ็ด!I593+เลย!I593+ศรีสะเกษ!I593+สกลนคร!I593+สุรินทร์!I593+หนองคาย!I593+หนองบัวลำภู!I593+อำนาจเจริญ!I593+อุดรธานี!I593+อุบลราชธานี!I593</f>
        <v>3582</v>
      </c>
      <c r="J593" s="188">
        <f ca="1">กาฬสินธุ์!J593+ขอนแก่น!J593+ชัยภูมิ!J593+นครพนม!J593+นครราชสีมา!J593+บึงกาฬ!J593+บุรีรัมย์!J593+มหาสารคาม!J593+มุกดาหาร!J593+ยโสธร!J593+ร้อยเอ็ด!J593+เลย!J593+ศรีสะเกษ!J593+สกลนคร!J593+สุรินทร์!J593+หนองคาย!J593+หนองบัวลำภู!J593+อำนาจเจริญ!J593+อุดรธานี!J593+อุบลราชธานี!J593</f>
        <v>351</v>
      </c>
      <c r="K593" s="163">
        <f t="shared" ca="1" si="94"/>
        <v>9.7989949748743719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กาฬสินธุ์!I594+ขอนแก่น!I594+ชัยภูมิ!I594+นครพนม!I594+นครราชสีมา!I594+บึงกาฬ!I594+บุรีรัมย์!I594+มหาสารคาม!I594+มุกดาหาร!I594+ยโสธร!I594+ร้อยเอ็ด!I594+เลย!I594+ศรีสะเกษ!I594+สกลนคร!I594+สุรินทร์!I594+หนองคาย!I594+หนองบัวลำภู!I594+อำนาจเจริญ!I594+อุดรธานี!I594+อุบลราชธานี!I594</f>
        <v>0</v>
      </c>
      <c r="J594" s="188">
        <f ca="1">กาฬสินธุ์!J594+ขอนแก่น!J594+ชัยภูมิ!J594+นครพนม!J594+นครราชสีมา!J594+บึงกาฬ!J594+บุรีรัมย์!J594+มหาสารคาม!J594+มุกดาหาร!J594+ยโสธร!J594+ร้อยเอ็ด!J594+เลย!J594+ศรีสะเกษ!J594+สกลนคร!J594+สุรินทร์!J594+หนองคาย!J594+หนองบัวลำภู!J594+อำนาจเจริญ!J594+อุดรธานี!J594+อุบลราชธานี!J594</f>
        <v>198.77</v>
      </c>
      <c r="K594" s="342">
        <f t="shared" ca="1" si="94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กาฬสินธุ์!I595+ขอนแก่น!I595+ชัยภูมิ!I595+นครพนม!I595+นครราชสีมา!I595+บึงกาฬ!I595+บุรีรัมย์!I595+มหาสารคาม!I595+มุกดาหาร!I595+ยโสธร!I595+ร้อยเอ็ด!I595+เลย!I595+ศรีสะเกษ!I595+สกลนคร!I595+สุรินทร์!I595+หนองคาย!I595+หนองบัวลำภู!I595+อำนาจเจริญ!I595+อุดรธานี!I595+อุบลราชธานี!I595</f>
        <v>3582</v>
      </c>
      <c r="J595" s="188">
        <f ca="1">กาฬสินธุ์!J595+ขอนแก่น!J595+ชัยภูมิ!J595+นครพนม!J595+นครราชสีมา!J595+บึงกาฬ!J595+บุรีรัมย์!J595+มหาสารคาม!J595+มุกดาหาร!J595+ยโสธร!J595+ร้อยเอ็ด!J595+เลย!J595+ศรีสะเกษ!J595+สกลนคร!J595+สุรินทร์!J595+หนองคาย!J595+หนองบัวลำภู!J595+อำนาจเจริญ!J595+อุดรธานี!J595+อุบลราชธานี!J595</f>
        <v>168</v>
      </c>
      <c r="K595" s="163">
        <f t="shared" ca="1" si="94"/>
        <v>4.6901172529313229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กาฬสินธุ์!I596+ขอนแก่น!I596+ชัยภูมิ!I596+นครพนม!I596+นครราชสีมา!I596+บึงกาฬ!I596+บุรีรัมย์!I596+มหาสารคาม!I596+มุกดาหาร!I596+ยโสธร!I596+ร้อยเอ็ด!I596+เลย!I596+ศรีสะเกษ!I596+สกลนคร!I596+สุรินทร์!I596+หนองคาย!I596+หนองบัวลำภู!I596+อำนาจเจริญ!I596+อุดรธานี!I596+อุบลราชธานี!I596</f>
        <v>0</v>
      </c>
      <c r="J596" s="241">
        <f ca="1">กาฬสินธุ์!J596+ขอนแก่น!J596+ชัยภูมิ!J596+นครพนม!J596+นครราชสีมา!J596+บึงกาฬ!J596+บุรีรัมย์!J596+มหาสารคาม!J596+มุกดาหาร!J596+ยโสธร!J596+ร้อยเอ็ด!J596+เลย!J596+ศรีสะเกษ!J596+สกลนคร!J596+สุรินทร์!J596+หนองคาย!J596+หนองบัวลำภู!J596+อำนาจเจริญ!J596+อุดรธานี!J596+อุบลราชธานี!J596</f>
        <v>91.840000000000018</v>
      </c>
      <c r="K596" s="486">
        <f t="shared" ca="1" si="94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กาฬสินธุ์!I597+ขอนแก่น!I597+ชัยภูมิ!I597+นครพนม!I597+นครราชสีมา!I597+บึงกาฬ!I597+บุรีรัมย์!I597+มหาสารคาม!I597+มุกดาหาร!I597+ยโสธร!I597+ร้อยเอ็ด!I597+เลย!I597+ศรีสะเกษ!I597+สกลนคร!I597+สุรินทร์!I597+หนองคาย!I597+หนองบัวลำภู!I597+อำนาจเจริญ!I597+อุดรธานี!I597+อุบลราชธานี!I597</f>
        <v>2270</v>
      </c>
      <c r="J597" s="487">
        <f ca="1">กาฬสินธุ์!J597+ขอนแก่น!J597+ชัยภูมิ!J597+นครพนม!J597+นครราชสีมา!J597+บึงกาฬ!J597+บุรีรัมย์!J597+มหาสารคาม!J597+มุกดาหาร!J597+ยโสธร!J597+ร้อยเอ็ด!J597+เลย!J597+ศรีสะเกษ!J597+สกลนคร!J597+สุรินทร์!J597+หนองคาย!J597+หนองบัวลำภู!J597+อำนาจเจริญ!J597+อุดรธานี!J597+อุบลราชธานี!J597</f>
        <v>0</v>
      </c>
      <c r="K597" s="411">
        <f ca="1">IF(I597&gt;0,J597*100/I597,0)</f>
        <v>0</v>
      </c>
      <c r="L597" s="412">
        <f ca="1">กาฬสินธุ์!L597+ขอนแก่น!L597+ชัยภูมิ!L597+นครพนม!L597+นครราชสีมา!L597+บึงกาฬ!L597+บุรีรัมย์!L597+มหาสารคาม!L597+มุกดาหาร!L597+ยโสธร!L597+ร้อยเอ็ด!L597+เลย!L597+ศรีสะเกษ!L597+สกลนคร!L597+สุรินทร์!L597+หนองคาย!L597+หนองบัวลำภู!L597+อำนาจเจริญ!L597+อุดรธานี!L597+อุบลราชธานี!L597</f>
        <v>223250</v>
      </c>
      <c r="M597" s="412"/>
      <c r="N597" s="412">
        <f ca="1">กาฬสินธุ์!N597+ขอนแก่น!N597+ชัยภูมิ!N597+นครพนม!N597+นครราชสีมา!N597+บึงกาฬ!N597+บุรีรัมย์!N597+มหาสารคาม!N597+มุกดาหาร!N597+ยโสธร!N597+ร้อยเอ็ด!N597+เลย!N597+ศรีสะเกษ!N597+สกลนคร!N597+สุรินทร์!N597+หนองคาย!N597+หนองบัวลำภู!N597+อำนาจเจริญ!N597+อุดรธานี!N597+อุบลราชธานี!N597</f>
        <v>45999</v>
      </c>
      <c r="O597" s="412">
        <f t="shared" ref="O597:O601" ca="1" si="95">+IF(L597&gt;0,N597*100/L597,0)</f>
        <v>20.604255319148937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กาฬสินธุ์!L598+ขอนแก่น!L598+ชัยภูมิ!L598+นครพนม!L598+นครราชสีมา!L598+บึงกาฬ!L598+บุรีรัมย์!L598+มหาสารคาม!L598+มุกดาหาร!L598+ยโสธร!L598+ร้อยเอ็ด!L598+เลย!L598+ศรีสะเกษ!L598+สกลนคร!L598+สุรินทร์!L598+หนองคาย!L598+หนองบัวลำภู!L598+อำนาจเจริญ!L598+อุดรธานี!L598+อุบลราชธานี!L598</f>
        <v>0</v>
      </c>
      <c r="M598" s="164"/>
      <c r="N598" s="169">
        <f ca="1">กาฬสินธุ์!N598+ขอนแก่น!N598+ชัยภูมิ!N598+นครพนม!N598+นครราชสีมา!N598+บึงกาฬ!N598+บุรีรัมย์!N598+มหาสารคาม!N598+มุกดาหาร!N598+ยโสธร!N598+ร้อยเอ็ด!N598+เลย!N598+ศรีสะเกษ!N598+สกลนคร!N598+สุรินทร์!N598+หนองคาย!N598+หนองบัวลำภู!N598+อำนาจเจริญ!N598+อุดรธานี!N598+อุบลราชธานี!N598</f>
        <v>0</v>
      </c>
      <c r="O598" s="169">
        <f t="shared" ca="1" si="95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กาฬสินธุ์!L599+ขอนแก่น!L599+ชัยภูมิ!L599+นครพนม!L599+นครราชสีมา!L599+บึงกาฬ!L599+บุรีรัมย์!L599+มหาสารคาม!L599+มุกดาหาร!L599+ยโสธร!L599+ร้อยเอ็ด!L599+เลย!L599+ศรีสะเกษ!L599+สกลนคร!L599+สุรินทร์!L599+หนองคาย!L599+หนองบัวลำภู!L599+อำนาจเจริญ!L599+อุดรธานี!L599+อุบลราชธานี!L599</f>
        <v>223250</v>
      </c>
      <c r="M599" s="165"/>
      <c r="N599" s="169">
        <f ca="1">กาฬสินธุ์!N599+ขอนแก่น!N599+ชัยภูมิ!N599+นครพนม!N599+นครราชสีมา!N599+บึงกาฬ!N599+บุรีรัมย์!N599+มหาสารคาม!N599+มุกดาหาร!N599+ยโสธร!N599+ร้อยเอ็ด!N599+เลย!N599+ศรีสะเกษ!N599+สกลนคร!N599+สุรินทร์!N599+หนองคาย!N599+หนองบัวลำภู!N599+อำนาจเจริญ!N599+อุดรธานี!N599+อุบลราชธานี!N599</f>
        <v>45999</v>
      </c>
      <c r="O599" s="169">
        <f t="shared" ca="1" si="95"/>
        <v>20.604255319148937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กาฬสินธุ์!L600+ขอนแก่น!L600+ชัยภูมิ!L600+นครพนม!L600+นครราชสีมา!L600+บึงกาฬ!L600+บุรีรัมย์!L600+มหาสารคาม!L600+มุกดาหาร!L600+ยโสธร!L600+ร้อยเอ็ด!L600+เลย!L600+ศรีสะเกษ!L600+สกลนคร!L600+สุรินทร์!L600+หนองคาย!L600+หนองบัวลำภู!L600+อำนาจเจริญ!L600+อุดรธานี!L600+อุบลราชธานี!L600</f>
        <v>0</v>
      </c>
      <c r="M600" s="169"/>
      <c r="N600" s="169">
        <f ca="1">กาฬสินธุ์!N600+ขอนแก่น!N600+ชัยภูมิ!N600+นครพนม!N600+นครราชสีมา!N600+บึงกาฬ!N600+บุรีรัมย์!N600+มหาสารคาม!N600+มุกดาหาร!N600+ยโสธร!N600+ร้อยเอ็ด!N600+เลย!N600+ศรีสะเกษ!N600+สกลนคร!N600+สุรินทร์!N600+หนองคาย!N600+หนองบัวลำภู!N600+อำนาจเจริญ!N600+อุดรธานี!N600+อุบลราชธานี!N600</f>
        <v>0</v>
      </c>
      <c r="O600" s="169">
        <f t="shared" ca="1" si="95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กาฬสินธุ์!L601+ขอนแก่น!L601+ชัยภูมิ!L601+นครพนม!L601+นครราชสีมา!L601+บึงกาฬ!L601+บุรีรัมย์!L601+มหาสารคาม!L601+มุกดาหาร!L601+ยโสธร!L601+ร้อยเอ็ด!L601+เลย!L601+ศรีสะเกษ!L601+สกลนคร!L601+สุรินทร์!L601+หนองคาย!L601+หนองบัวลำภู!L601+อำนาจเจริญ!L601+อุดรธานี!L601+อุบลราชธานี!L601</f>
        <v>223250</v>
      </c>
      <c r="M601" s="169"/>
      <c r="N601" s="169">
        <f ca="1">กาฬสินธุ์!N601+ขอนแก่น!N601+ชัยภูมิ!N601+นครพนม!N601+นครราชสีมา!N601+บึงกาฬ!N601+บุรีรัมย์!N601+มหาสารคาม!N601+มุกดาหาร!N601+ยโสธร!N601+ร้อยเอ็ด!N601+เลย!N601+ศรีสะเกษ!N601+สกลนคร!N601+สุรินทร์!N601+หนองคาย!N601+หนองบัวลำภู!N601+อำนาจเจริญ!N601+อุดรธานี!N601+อุบลราชธานี!N601</f>
        <v>45999</v>
      </c>
      <c r="O601" s="169">
        <f t="shared" ca="1" si="95"/>
        <v>20.604255319148937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กาฬสินธุ์!N602+ขอนแก่น!N602+ชัยภูมิ!N602+นครพนม!N602+นครราชสีมา!N602+บึงกาฬ!N602+บุรีรัมย์!N602+มหาสารคาม!N602+มุกดาหาร!N602+ยโสธร!N602+ร้อยเอ็ด!N602+เลย!N602+ศรีสะเกษ!N602+สกลนคร!N602+สุรินทร์!N602+หนองคาย!N602+หนองบัวลำภู!N602+อำนาจเจริญ!N602+อุดรธานี!N602+อุบลราชธานี!N602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กาฬสินธุ์!N603+ขอนแก่น!N603+ชัยภูมิ!N603+นครพนม!N603+นครราชสีมา!N603+บึงกาฬ!N603+บุรีรัมย์!N603+มหาสารคาม!N603+มุกดาหาร!N603+ยโสธร!N603+ร้อยเอ็ด!N603+เลย!N603+ศรีสะเกษ!N603+สกลนคร!N603+สุรินทร์!N603+หนองคาย!N603+หนองบัวลำภู!N603+อำนาจเจริญ!N603+อุดรธานี!N603+อุบลราชธานี!N603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กาฬสินธุ์!N604+ขอนแก่น!N604+ชัยภูมิ!N604+นครพนม!N604+นครราชสีมา!N604+บึงกาฬ!N604+บุรีรัมย์!N604+มหาสารคาม!N604+มุกดาหาร!N604+ยโสธร!N604+ร้อยเอ็ด!N604+เลย!N604+ศรีสะเกษ!N604+สกลนคร!N604+สุรินทร์!N604+หนองคาย!N604+หนองบัวลำภู!N604+อำนาจเจริญ!N604+อุดรธานี!N604+อุบลราชธานี!N604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กาฬสินธุ์!N605+ขอนแก่น!N605+ชัยภูมิ!N605+นครพนม!N605+นครราชสีมา!N605+บึงกาฬ!N605+บุรีรัมย์!N605+มหาสารคาม!N605+มุกดาหาร!N605+ยโสธร!N605+ร้อยเอ็ด!N605+เลย!N605+ศรีสะเกษ!N605+สกลนคร!N605+สุรินทร์!N605+หนองคาย!N605+หนองบัวลำภู!N605+อำนาจเจริญ!N605+อุดรธานี!N605+อุบลราชธานี!N605</f>
        <v>45999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กาฬสินธุ์!J607+ขอนแก่น!J607+ชัยภูมิ!J607+นครพนม!J607+นครราชสีมา!J607+บึงกาฬ!J607+บุรีรัมย์!J607+มหาสารคาม!J607+มุกดาหาร!J607+ยโสธร!J607+ร้อยเอ็ด!J607+เลย!J607+ศรีสะเกษ!J607+สกลนคร!J607+สุรินทร์!J607+หนองคาย!J607+หนองบัวลำภู!J607+อำนาจเจริญ!J607+อุดรธานี!J607+อุบลราชธานี!J607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กาฬสินธุ์!J608+ขอนแก่น!J608+ชัยภูมิ!J608+นครพนม!J608+นครราชสีมา!J608+บึงกาฬ!J608+บุรีรัมย์!J608+มหาสารคาม!J608+มุกดาหาร!J608+ยโสธร!J608+ร้อยเอ็ด!J608+เลย!J608+ศรีสะเกษ!J608+สกลนคร!J608+สุรินทร์!J608+หนองคาย!J608+หนองบัวลำภู!J608+อำนาจเจริญ!J608+อุดรธานี!J608+อุบลราชธานี!J608</f>
        <v>20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กาฬสินธุ์!J609+ขอนแก่น!J609+ชัยภูมิ!J609+นครพนม!J609+นครราชสีมา!J609+บึงกาฬ!J609+บุรีรัมย์!J609+มหาสารคาม!J609+มุกดาหาร!J609+ยโสธร!J609+ร้อยเอ็ด!J609+เลย!J609+ศรีสะเกษ!J609+สกลนคร!J609+สุรินทร์!J609+หนองคาย!J609+หนองบัวลำภู!J609+อำนาจเจริญ!J609+อุดรธานี!J609+อุบลราชธานี!J609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กาฬสินธุ์!J610+ขอนแก่น!J610+ชัยภูมิ!J610+นครพนม!J610+นครราชสีมา!J610+บึงกาฬ!J610+บุรีรัมย์!J610+มหาสารคาม!J610+มุกดาหาร!J610+ยโสธร!J610+ร้อยเอ็ด!J610+เลย!J610+ศรีสะเกษ!J610+สกลนคร!J610+สุรินทร์!J610+หนองคาย!J610+หนองบัวลำภู!J610+อำนาจเจริญ!J610+อุดรธานี!J610+อุบลราชธานี!J610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กาฬสินธุ์!I611+ขอนแก่น!I611+ชัยภูมิ!I611+นครพนม!I611+นครราชสีมา!I611+บึงกาฬ!I611+บุรีรัมย์!I611+มหาสารคาม!I611+มุกดาหาร!I611+ยโสธร!I611+ร้อยเอ็ด!I611+เลย!I611+ศรีสะเกษ!I611+สกลนคร!I611+สุรินทร์!I611+หนองคาย!I611+หนองบัวลำภู!I611+อำนาจเจริญ!I611+อุดรธานี!I611+อุบลราชธานี!I611</f>
        <v>2270</v>
      </c>
      <c r="J611" s="162">
        <f ca="1">กาฬสินธุ์!J611+ขอนแก่น!J611+ชัยภูมิ!J611+นครพนม!J611+นครราชสีมา!J611+บึงกาฬ!J611+บุรีรัมย์!J611+มหาสารคาม!J611+มุกดาหาร!J611+ยโสธร!J611+ร้อยเอ็ด!J611+เลย!J611+ศรีสะเกษ!J611+สกลนคร!J611+สุรินทร์!J611+หนองคาย!J611+หนองบัวลำภู!J611+อำนาจเจริญ!J611+อุดรธานี!J611+อุบลราชธานี!J611</f>
        <v>0</v>
      </c>
      <c r="K611" s="163">
        <f t="shared" ref="K611:K619" ca="1" si="96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กาฬสินธุ์!I612+ขอนแก่น!I612+ชัยภูมิ!I612+นครพนม!I612+นครราชสีมา!I612+บึงกาฬ!I612+บุรีรัมย์!I612+มหาสารคาม!I612+มุกดาหาร!I612+ยโสธร!I612+ร้อยเอ็ด!I612+เลย!I612+ศรีสะเกษ!I612+สกลนคร!I612+สุรินทร์!I612+หนองคาย!I612+หนองบัวลำภู!I612+อำนาจเจริญ!I612+อุดรธานี!I612+อุบลราชธานี!I612</f>
        <v>0</v>
      </c>
      <c r="J612" s="198">
        <f ca="1">กาฬสินธุ์!J612+ขอนแก่น!J612+ชัยภูมิ!J612+นครพนม!J612+นครราชสีมา!J612+บึงกาฬ!J612+บุรีรัมย์!J612+มหาสารคาม!J612+มุกดาหาร!J612+ยโสธร!J612+ร้อยเอ็ด!J612+เลย!J612+ศรีสะเกษ!J612+สกลนคร!J612+สุรินทร์!J612+หนองคาย!J612+หนองบัวลำภู!J612+อำนาจเจริญ!J612+อุดรธานี!J612+อุบลราชธานี!J612</f>
        <v>1446.22</v>
      </c>
      <c r="K612" s="163">
        <f t="shared" ca="1" si="96"/>
        <v>63.710132158590305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กาฬสินธุ์!I613+ขอนแก่น!I613+ชัยภูมิ!I613+นครพนม!I613+นครราชสีมา!I613+บึงกาฬ!I613+บุรีรัมย์!I613+มหาสารคาม!I613+มุกดาหาร!I613+ยโสธร!I613+ร้อยเอ็ด!I613+เลย!I613+ศรีสะเกษ!I613+สกลนคร!I613+สุรินทร์!I613+หนองคาย!I613+หนองบัวลำภู!I613+อำนาจเจริญ!I613+อุดรธานี!I613+อุบลราชธานี!I613</f>
        <v>0</v>
      </c>
      <c r="J613" s="198">
        <f ca="1">กาฬสินธุ์!J613+ขอนแก่น!J613+ชัยภูมิ!J613+นครพนม!J613+นครราชสีมา!J613+บึงกาฬ!J613+บุรีรัมย์!J613+มหาสารคาม!J613+มุกดาหาร!J613+ยโสธร!J613+ร้อยเอ็ด!J613+เลย!J613+ศรีสะเกษ!J613+สกลนคร!J613+สุรินทร์!J613+หนองคาย!J613+หนองบัวลำภู!J613+อำนาจเจริญ!J613+อุดรธานี!J613+อุบลราชธานี!J613</f>
        <v>1278.22</v>
      </c>
      <c r="K613" s="163">
        <f t="shared" ca="1" si="96"/>
        <v>56.309251101321586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กาฬสินธุ์!I614+ขอนแก่น!I614+ชัยภูมิ!I614+นครพนม!I614+นครราชสีมา!I614+บึงกาฬ!I614+บุรีรัมย์!I614+มหาสารคาม!I614+มุกดาหาร!I614+ยโสธร!I614+ร้อยเอ็ด!I614+เลย!I614+ศรีสะเกษ!I614+สกลนคร!I614+สุรินทร์!I614+หนองคาย!I614+หนองบัวลำภู!I614+อำนาจเจริญ!I614+อุดรธานี!I614+อุบลราชธานี!I614</f>
        <v>0</v>
      </c>
      <c r="J614" s="198">
        <f ca="1">กาฬสินธุ์!J614+ขอนแก่น!J614+ชัยภูมิ!J614+นครพนม!J614+นครราชสีมา!J614+บึงกาฬ!J614+บุรีรัมย์!J614+มหาสารคาม!J614+มุกดาหาร!J614+ยโสธร!J614+ร้อยเอ็ด!J614+เลย!J614+ศรีสะเกษ!J614+สกลนคร!J614+สุรินทร์!J614+หนองคาย!J614+หนองบัวลำภู!J614+อำนาจเจริญ!J614+อุดรธานี!J614+อุบลราชธานี!J614</f>
        <v>1369.22</v>
      </c>
      <c r="K614" s="163">
        <f t="shared" ca="1" si="96"/>
        <v>60.31806167400881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กาฬสินธุ์!I615+ขอนแก่น!I615+ชัยภูมิ!I615+นครพนม!I615+นครราชสีมา!I615+บึงกาฬ!I615+บุรีรัมย์!I615+มหาสารคาม!I615+มุกดาหาร!I615+ยโสธร!I615+ร้อยเอ็ด!I615+เลย!I615+ศรีสะเกษ!I615+สกลนคร!I615+สุรินทร์!I615+หนองคาย!I615+หนองบัวลำภู!I615+อำนาจเจริญ!I615+อุดรธานี!I615+อุบลราชธานี!I615</f>
        <v>0</v>
      </c>
      <c r="J615" s="198">
        <f ca="1">กาฬสินธุ์!J615+ขอนแก่น!J615+ชัยภูมิ!J615+นครพนม!J615+นครราชสีมา!J615+บึงกาฬ!J615+บุรีรัมย์!J615+มหาสารคาม!J615+มุกดาหาร!J615+ยโสธร!J615+ร้อยเอ็ด!J615+เลย!J615+ศรีสะเกษ!J615+สกลนคร!J615+สุรินทร์!J615+หนองคาย!J615+หนองบัวลำภู!J615+อำนาจเจริญ!J615+อุดรธานี!J615+อุบลราชธานี!J615</f>
        <v>538.22</v>
      </c>
      <c r="K615" s="163">
        <f t="shared" ca="1" si="96"/>
        <v>23.710132158590309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กาฬสินธุ์!I616+ขอนแก่น!I616+ชัยภูมิ!I616+นครพนม!I616+นครราชสีมา!I616+บึงกาฬ!I616+บุรีรัมย์!I616+มหาสารคาม!I616+มุกดาหาร!I616+ยโสธร!I616+ร้อยเอ็ด!I616+เลย!I616+ศรีสะเกษ!I616+สกลนคร!I616+สุรินทร์!I616+หนองคาย!I616+หนองบัวลำภู!I616+อำนาจเจริญ!I616+อุดรธานี!I616+อุบลราชธานี!I616</f>
        <v>0</v>
      </c>
      <c r="J616" s="198">
        <f ca="1">กาฬสินธุ์!J616+ขอนแก่น!J616+ชัยภูมิ!J616+นครพนม!J616+นครราชสีมา!J616+บึงกาฬ!J616+บุรีรัมย์!J616+มหาสารคาม!J616+มุกดาหาร!J616+ยโสธร!J616+ร้อยเอ็ด!J616+เลย!J616+ศรีสะเกษ!J616+สกลนคร!J616+สุรินทร์!J616+หนองคาย!J616+หนองบัวลำภู!J616+อำนาจเจริญ!J616+อุดรธานี!J616+อุบลราชธานี!J616</f>
        <v>165</v>
      </c>
      <c r="K616" s="163">
        <f t="shared" ca="1" si="96"/>
        <v>7.2687224669603525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กาฬสินธุ์!I617+ขอนแก่น!I617+ชัยภูมิ!I617+นครพนม!I617+นครราชสีมา!I617+บึงกาฬ!I617+บุรีรัมย์!I617+มหาสารคาม!I617+มุกดาหาร!I617+ยโสธร!I617+ร้อยเอ็ด!I617+เลย!I617+ศรีสะเกษ!I617+สกลนคร!I617+สุรินทร์!I617+หนองคาย!I617+หนองบัวลำภู!I617+อำนาจเจริญ!I617+อุดรธานี!I617+อุบลราชธานี!I617</f>
        <v>0</v>
      </c>
      <c r="J617" s="188">
        <f ca="1">กาฬสินธุ์!J617+ขอนแก่น!J617+ชัยภูมิ!J617+นครพนม!J617+นครราชสีมา!J617+บึงกาฬ!J617+บุรีรัมย์!J617+มหาสารคาม!J617+มุกดาหาร!J617+ยโสธร!J617+ร้อยเอ็ด!J617+เลย!J617+ศรีสะเกษ!J617+สกลนคร!J617+สุรินทร์!J617+หนองคาย!J617+หนองบัวลำภู!J617+อำนาจเจริญ!J617+อุดรธานี!J617+อุบลราชธานี!J617</f>
        <v>0</v>
      </c>
      <c r="K617" s="163">
        <f t="shared" ca="1" si="96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กาฬสินธุ์!I618+ขอนแก่น!I618+ชัยภูมิ!I618+นครพนม!I618+นครราชสีมา!I618+บึงกาฬ!I618+บุรีรัมย์!I618+มหาสารคาม!I618+มุกดาหาร!I618+ยโสธร!I618+ร้อยเอ็ด!I618+เลย!I618+ศรีสะเกษ!I618+สกลนคร!I618+สุรินทร์!I618+หนองคาย!I618+หนองบัวลำภู!I618+อำนาจเจริญ!I618+อุดรธานี!I618+อุบลราชธานี!I618</f>
        <v>0</v>
      </c>
      <c r="J618" s="189">
        <f ca="1">กาฬสินธุ์!J618+ขอนแก่น!J618+ชัยภูมิ!J618+นครพนม!J618+นครราชสีมา!J618+บึงกาฬ!J618+บุรีรัมย์!J618+มหาสารคาม!J618+มุกดาหาร!J618+ยโสธร!J618+ร้อยเอ็ด!J618+เลย!J618+ศรีสะเกษ!J618+สกลนคร!J618+สุรินทร์!J618+หนองคาย!J618+หนองบัวลำภู!J618+อำนาจเจริญ!J618+อุดรธานี!J618+อุบลราชธานี!J618</f>
        <v>0</v>
      </c>
      <c r="K618" s="163">
        <f t="shared" ca="1" si="96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กาฬสินธุ์!I619+ขอนแก่น!I619+ชัยภูมิ!I619+นครพนม!I619+นครราชสีมา!I619+บึงกาฬ!I619+บุรีรัมย์!I619+มหาสารคาม!I619+มุกดาหาร!I619+ยโสธร!I619+ร้อยเอ็ด!I619+เลย!I619+ศรีสะเกษ!I619+สกลนคร!I619+สุรินทร์!I619+หนองคาย!I619+หนองบัวลำภู!I619+อำนาจเจริญ!I619+อุดรธานี!I619+อุบลราชธานี!I619</f>
        <v>0</v>
      </c>
      <c r="J619" s="189">
        <f ca="1">กาฬสินธุ์!J619+ขอนแก่น!J619+ชัยภูมิ!J619+นครพนม!J619+นครราชสีมา!J619+บึงกาฬ!J619+บุรีรัมย์!J619+มหาสารคาม!J619+มุกดาหาร!J619+ยโสธร!J619+ร้อยเอ็ด!J619+เลย!J619+ศรีสะเกษ!J619+สกลนคร!J619+สุรินทร์!J619+หนองคาย!J619+หนองบัวลำภู!J619+อำนาจเจริญ!J619+อุดรธานี!J619+อุบลราชธานี!J619</f>
        <v>0</v>
      </c>
      <c r="K619" s="163">
        <f t="shared" ca="1" si="96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กาฬสินธุ์!I620+ขอนแก่น!I620+ชัยภูมิ!I620+นครพนม!I620+นครราชสีมา!I620+บึงกาฬ!I620+บุรีรัมย์!I620+มหาสารคาม!I620+มุกดาหาร!I620+ยโสธร!I620+ร้อยเอ็ด!I620+เลย!I620+ศรีสะเกษ!I620+สกลนคร!I620+สุรินทร์!I620+หนองคาย!I620+หนองบัวลำภู!I620+อำนาจเจริญ!I620+อุดรธานี!I620+อุบลราชธานี!I620</f>
        <v>286</v>
      </c>
      <c r="J620" s="203">
        <f ca="1">กาฬสินธุ์!J620+ขอนแก่น!J620+ชัยภูมิ!J620+นครพนม!J620+นครราชสีมา!J620+บึงกาฬ!J620+บุรีรัมย์!J620+มหาสารคาม!J620+มุกดาหาร!J620+ยโสธร!J620+ร้อยเอ็ด!J620+เลย!J620+ศรีสะเกษ!J620+สกลนคร!J620+สุรินทร์!J620+หนองคาย!J620+หนองบัวลำภู!J620+อำนาจเจริญ!J620+อุดรธานี!J620+อุบลราชธานี!J620</f>
        <v>0</v>
      </c>
      <c r="K620" s="163">
        <f t="shared" ref="K620:K626" ca="1" si="97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กาฬสินธุ์!I621+ขอนแก่น!I621+ชัยภูมิ!I621+นครพนม!I621+นครราชสีมา!I621+บึงกาฬ!I621+บุรีรัมย์!I621+มหาสารคาม!I621+มุกดาหาร!I621+ยโสธร!I621+ร้อยเอ็ด!I621+เลย!I621+ศรีสะเกษ!I621+สกลนคร!I621+สุรินทร์!I621+หนองคาย!I621+หนองบัวลำภู!I621+อำนาจเจริญ!I621+อุดรธานี!I621+อุบลราชธานี!I621</f>
        <v>0</v>
      </c>
      <c r="J621" s="203">
        <f ca="1">กาฬสินธุ์!J621+ขอนแก่น!J621+ชัยภูมิ!J621+นครพนม!J621+นครราชสีมา!J621+บึงกาฬ!J621+บุรีรัมย์!J621+มหาสารคาม!J621+มุกดาหาร!J621+ยโสธร!J621+ร้อยเอ็ด!J621+เลย!J621+ศรีสะเกษ!J621+สกลนคร!J621+สุรินทร์!J621+หนองคาย!J621+หนองบัวลำภู!J621+อำนาจเจริญ!J621+อุดรธานี!J621+อุบลราชธานี!J621</f>
        <v>0</v>
      </c>
      <c r="K621" s="163">
        <f t="shared" ca="1" si="97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กาฬสินธุ์!I622+ขอนแก่น!I622+ชัยภูมิ!I622+นครพนม!I622+นครราชสีมา!I622+บึงกาฬ!I622+บุรีรัมย์!I622+มหาสารคาม!I622+มุกดาหาร!I622+ยโสธร!I622+ร้อยเอ็ด!I622+เลย!I622+ศรีสะเกษ!I622+สกลนคร!I622+สุรินทร์!I622+หนองคาย!I622+หนองบัวลำภู!I622+อำนาจเจริญ!I622+อุดรธานี!I622+อุบลราชธานี!I622</f>
        <v>0</v>
      </c>
      <c r="J622" s="189">
        <f ca="1">กาฬสินธุ์!J622+ขอนแก่น!J622+ชัยภูมิ!J622+นครพนม!J622+นครราชสีมา!J622+บึงกาฬ!J622+บุรีรัมย์!J622+มหาสารคาม!J622+มุกดาหาร!J622+ยโสธร!J622+ร้อยเอ็ด!J622+เลย!J622+ศรีสะเกษ!J622+สกลนคร!J622+สุรินทร์!J622+หนองคาย!J622+หนองบัวลำภู!J622+อำนาจเจริญ!J622+อุดรธานี!J622+อุบลราชธานี!J622</f>
        <v>0</v>
      </c>
      <c r="K622" s="163">
        <f t="shared" ca="1" si="97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กาฬสินธุ์!I623+ขอนแก่น!I623+ชัยภูมิ!I623+นครพนม!I623+นครราชสีมา!I623+บึงกาฬ!I623+บุรีรัมย์!I623+มหาสารคาม!I623+มุกดาหาร!I623+ยโสธร!I623+ร้อยเอ็ด!I623+เลย!I623+ศรีสะเกษ!I623+สกลนคร!I623+สุรินทร์!I623+หนองคาย!I623+หนองบัวลำภู!I623+อำนาจเจริญ!I623+อุดรธานี!I623+อุบลราชธานี!I623</f>
        <v>0</v>
      </c>
      <c r="J623" s="189">
        <f ca="1">กาฬสินธุ์!J623+ขอนแก่น!J623+ชัยภูมิ!J623+นครพนม!J623+นครราชสีมา!J623+บึงกาฬ!J623+บุรีรัมย์!J623+มหาสารคาม!J623+มุกดาหาร!J623+ยโสธร!J623+ร้อยเอ็ด!J623+เลย!J623+ศรีสะเกษ!J623+สกลนคร!J623+สุรินทร์!J623+หนองคาย!J623+หนองบัวลำภู!J623+อำนาจเจริญ!J623+อุดรธานี!J623+อุบลราชธานี!J623</f>
        <v>0</v>
      </c>
      <c r="K623" s="163">
        <f t="shared" ca="1" si="97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กาฬสินธุ์!I624+ขอนแก่น!I624+ชัยภูมิ!I624+นครพนม!I624+นครราชสีมา!I624+บึงกาฬ!I624+บุรีรัมย์!I624+มหาสารคาม!I624+มุกดาหาร!I624+ยโสธร!I624+ร้อยเอ็ด!I624+เลย!I624+ศรีสะเกษ!I624+สกลนคร!I624+สุรินทร์!I624+หนองคาย!I624+หนองบัวลำภู!I624+อำนาจเจริญ!I624+อุดรธานี!I624+อุบลราชธานี!I624</f>
        <v>0</v>
      </c>
      <c r="J624" s="188">
        <f ca="1">กาฬสินธุ์!J624+ขอนแก่น!J624+ชัยภูมิ!J624+นครพนม!J624+นครราชสีมา!J624+บึงกาฬ!J624+บุรีรัมย์!J624+มหาสารคาม!J624+มุกดาหาร!J624+ยโสธร!J624+ร้อยเอ็ด!J624+เลย!J624+ศรีสะเกษ!J624+สกลนคร!J624+สุรินทร์!J624+หนองคาย!J624+หนองบัวลำภู!J624+อำนาจเจริญ!J624+อุดรธานี!J624+อุบลราชธานี!J624</f>
        <v>0</v>
      </c>
      <c r="K624" s="163">
        <f t="shared" ca="1" si="97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กาฬสินธุ์!I625+ขอนแก่น!I625+ชัยภูมิ!I625+นครพนม!I625+นครราชสีมา!I625+บึงกาฬ!I625+บุรีรัมย์!I625+มหาสารคาม!I625+มุกดาหาร!I625+ยโสธร!I625+ร้อยเอ็ด!I625+เลย!I625+ศรีสะเกษ!I625+สกลนคร!I625+สุรินทร์!I625+หนองคาย!I625+หนองบัวลำภู!I625+อำนาจเจริญ!I625+อุดรธานี!I625+อุบลราชธานี!I625</f>
        <v>0</v>
      </c>
      <c r="J625" s="189">
        <f ca="1">กาฬสินธุ์!J625+ขอนแก่น!J625+ชัยภูมิ!J625+นครพนม!J625+นครราชสีมา!J625+บึงกาฬ!J625+บุรีรัมย์!J625+มหาสารคาม!J625+มุกดาหาร!J625+ยโสธร!J625+ร้อยเอ็ด!J625+เลย!J625+ศรีสะเกษ!J625+สกลนคร!J625+สุรินทร์!J625+หนองคาย!J625+หนองบัวลำภู!J625+อำนาจเจริญ!J625+อุดรธานี!J625+อุบลราชธานี!J625</f>
        <v>0</v>
      </c>
      <c r="K625" s="163">
        <f t="shared" ca="1" si="97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กาฬสินธุ์!I626+ขอนแก่น!I626+ชัยภูมิ!I626+นครพนม!I626+นครราชสีมา!I626+บึงกาฬ!I626+บุรีรัมย์!I626+มหาสารคาม!I626+มุกดาหาร!I626+ยโสธร!I626+ร้อยเอ็ด!I626+เลย!I626+ศรีสะเกษ!I626+สกลนคร!I626+สุรินทร์!I626+หนองคาย!I626+หนองบัวลำภู!I626+อำนาจเจริญ!I626+อุดรธานี!I626+อุบลราชธานี!I626</f>
        <v>0</v>
      </c>
      <c r="J626" s="189">
        <f ca="1">กาฬสินธุ์!J626+ขอนแก่น!J626+ชัยภูมิ!J626+นครพนม!J626+นครราชสีมา!J626+บึงกาฬ!J626+บุรีรัมย์!J626+มหาสารคาม!J626+มุกดาหาร!J626+ยโสธร!J626+ร้อยเอ็ด!J626+เลย!J626+ศรีสะเกษ!J626+สกลนคร!J626+สุรินทร์!J626+หนองคาย!J626+หนองบัวลำภู!J626+อำนาจเจริญ!J626+อุดรธานี!J626+อุบลราชธานี!J626</f>
        <v>0</v>
      </c>
      <c r="K626" s="163">
        <f t="shared" ca="1" si="97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กาฬสินธุ์!I628+ขอนแก่น!I628+ชัยภูมิ!I628+นครพนม!I628+นครราชสีมา!I628+บึงกาฬ!I628+บุรีรัมย์!I628+มหาสารคาม!I628+มุกดาหาร!I628+ยโสธร!I628+ร้อยเอ็ด!I628+เลย!I628+ศรีสะเกษ!I628+สกลนคร!I628+สุรินทร์!I628+หนองคาย!I628+หนองบัวลำภู!I628+อำนาจเจริญ!I628+อุดรธานี!I628+อุบลราชธานี!I628</f>
        <v>126283653.49000001</v>
      </c>
      <c r="J628" s="341">
        <f ca="1">กาฬสินธุ์!J628+ขอนแก่น!J628+ชัยภูมิ!J628+นครพนม!J628+นครราชสีมา!J628+บึงกาฬ!J628+บุรีรัมย์!J628+มหาสารคาม!J628+มุกดาหาร!J628+ยโสธร!J628+ร้อยเอ็ด!J628+เลย!J628+ศรีสะเกษ!J628+สกลนคร!J628+สุรินทร์!J628+หนองคาย!J628+หนองบัวลำภู!J628+อำนาจเจริญ!J628+อุดรธานี!J628+อุบลราชธานี!J628</f>
        <v>57517844.070000008</v>
      </c>
      <c r="K628" s="342">
        <f t="shared" ref="K628:K635" ca="1" si="98">IF(I628&gt;0,J628*100/I628,0)</f>
        <v>45.546547379985853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กาฬสินธุ์!I629+ขอนแก่น!I629+ชัยภูมิ!I629+นครพนม!I629+นครราชสีมา!I629+บึงกาฬ!I629+บุรีรัมย์!I629+มหาสารคาม!I629+มุกดาหาร!I629+ยโสธร!I629+ร้อยเอ็ด!I629+เลย!I629+ศรีสะเกษ!I629+สกลนคร!I629+สุรินทร์!I629+หนองคาย!I629+หนองบัวลำภู!I629+อำนาจเจริญ!I629+อุดรธานี!I629+อุบลราชธานี!I629</f>
        <v>8531</v>
      </c>
      <c r="J629" s="341">
        <f ca="1">กาฬสินธุ์!J629+ขอนแก่น!J629+ชัยภูมิ!J629+นครพนม!J629+นครราชสีมา!J629+บึงกาฬ!J629+บุรีรัมย์!J629+มหาสารคาม!J629+มุกดาหาร!J629+ยโสธร!J629+ร้อยเอ็ด!J629+เลย!J629+ศรีสะเกษ!J629+สกลนคร!J629+สุรินทร์!J629+หนองคาย!J629+หนองบัวลำภู!J629+อำนาจเจริญ!J629+อุดรธานี!J629+อุบลราชธานี!J629</f>
        <v>3453</v>
      </c>
      <c r="K629" s="342">
        <f t="shared" ca="1" si="98"/>
        <v>40.475911382018523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กาฬสินธุ์!I630+ขอนแก่น!I630+ชัยภูมิ!I630+นครพนม!I630+นครราชสีมา!I630+บึงกาฬ!I630+บุรีรัมย์!I630+มหาสารคาม!I630+มุกดาหาร!I630+ยโสธร!I630+ร้อยเอ็ด!I630+เลย!I630+ศรีสะเกษ!I630+สกลนคร!I630+สุรินทร์!I630+หนองคาย!I630+หนองบัวลำภู!I630+อำนาจเจริญ!I630+อุดรธานี!I630+อุบลราชธานี!I630</f>
        <v>175120720.13999996</v>
      </c>
      <c r="J630" s="341">
        <f ca="1">กาฬสินธุ์!J630+ขอนแก่น!J630+ชัยภูมิ!J630+นครพนม!J630+นครราชสีมา!J630+บึงกาฬ!J630+บุรีรัมย์!J630+มหาสารคาม!J630+มุกดาหาร!J630+ยโสธร!J630+ร้อยเอ็ด!J630+เลย!J630+ศรีสะเกษ!J630+สกลนคร!J630+สุรินทร์!J630+หนองคาย!J630+หนองบัวลำภู!J630+อำนาจเจริญ!J630+อุดรธานี!J630+อุบลราชธานี!J630</f>
        <v>19416304.16</v>
      </c>
      <c r="K630" s="342">
        <f t="shared" ca="1" si="98"/>
        <v>11.087382546438633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กาฬสินธุ์!I631+ขอนแก่น!I631+ชัยภูมิ!I631+นครพนม!I631+นครราชสีมา!I631+บึงกาฬ!I631+บุรีรัมย์!I631+มหาสารคาม!I631+มุกดาหาร!I631+ยโสธร!I631+ร้อยเอ็ด!I631+เลย!I631+ศรีสะเกษ!I631+สกลนคร!I631+สุรินทร์!I631+หนองคาย!I631+หนองบัวลำภู!I631+อำนาจเจริญ!I631+อุดรธานี!I631+อุบลราชธานี!I631</f>
        <v>8076</v>
      </c>
      <c r="J631" s="341">
        <f ca="1">กาฬสินธุ์!J631+ขอนแก่น!J631+ชัยภูมิ!J631+นครพนม!J631+นครราชสีมา!J631+บึงกาฬ!J631+บุรีรัมย์!J631+มหาสารคาม!J631+มุกดาหาร!J631+ยโสธร!J631+ร้อยเอ็ด!J631+เลย!J631+ศรีสะเกษ!J631+สกลนคร!J631+สุรินทร์!J631+หนองคาย!J631+หนองบัวลำภู!J631+อำนาจเจริญ!J631+อุดรธานี!J631+อุบลราชธานี!J631</f>
        <v>2902</v>
      </c>
      <c r="K631" s="342">
        <f t="shared" ca="1" si="98"/>
        <v>35.933630510153542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กาฬสินธุ์!I632+ขอนแก่น!I632+ชัยภูมิ!I632+นครพนม!I632+นครราชสีมา!I632+บึงกาฬ!I632+บุรีรัมย์!I632+มหาสารคาม!I632+มุกดาหาร!I632+ยโสธร!I632+ร้อยเอ็ด!I632+เลย!I632+ศรีสะเกษ!I632+สกลนคร!I632+สุรินทร์!I632+หนองคาย!I632+หนองบัวลำภู!I632+อำนาจเจริญ!I632+อุดรธานี!I632+อุบลราชธานี!I632</f>
        <v>10749625.810000001</v>
      </c>
      <c r="J632" s="341">
        <f ca="1">กาฬสินธุ์!J632+ขอนแก่น!J632+ชัยภูมิ!J632+นครพนม!J632+นครราชสีมา!J632+บึงกาฬ!J632+บุรีรัมย์!J632+มหาสารคาม!J632+มุกดาหาร!J632+ยโสธร!J632+ร้อยเอ็ด!J632+เลย!J632+ศรีสะเกษ!J632+สกลนคร!J632+สุรินทร์!J632+หนองคาย!J632+หนองบัวลำภู!J632+อำนาจเจริญ!J632+อุดรธานี!J632+อุบลราชธานี!J632</f>
        <v>3588380.15</v>
      </c>
      <c r="K632" s="342">
        <f t="shared" ca="1" si="98"/>
        <v>33.381442418784992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กาฬสินธุ์!I633+ขอนแก่น!I633+ชัยภูมิ!I633+นครพนม!I633+นครราชสีมา!I633+บึงกาฬ!I633+บุรีรัมย์!I633+มหาสารคาม!I633+มุกดาหาร!I633+ยโสธร!I633+ร้อยเอ็ด!I633+เลย!I633+ศรีสะเกษ!I633+สกลนคร!I633+สุรินทร์!I633+หนองคาย!I633+หนองบัวลำภู!I633+อำนาจเจริญ!I633+อุดรธานี!I633+อุบลราชธานี!I633</f>
        <v>945</v>
      </c>
      <c r="J633" s="341">
        <f ca="1">กาฬสินธุ์!J633+ขอนแก่น!J633+ชัยภูมิ!J633+นครพนม!J633+นครราชสีมา!J633+บึงกาฬ!J633+บุรีรัมย์!J633+มหาสารคาม!J633+มุกดาหาร!J633+ยโสธร!J633+ร้อยเอ็ด!J633+เลย!J633+ศรีสะเกษ!J633+สกลนคร!J633+สุรินทร์!J633+หนองคาย!J633+หนองบัวลำภู!J633+อำนาจเจริญ!J633+อุดรธานี!J633+อุบลราชธานี!J633</f>
        <v>560</v>
      </c>
      <c r="K633" s="342">
        <f t="shared" ca="1" si="98"/>
        <v>59.25925925925926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กาฬสินธุ์!I634+ขอนแก่น!I634+ชัยภูมิ!I634+นครพนม!I634+นครราชสีมา!I634+บึงกาฬ!I634+บุรีรัมย์!I634+มหาสารคาม!I634+มุกดาหาร!I634+ยโสธร!I634+ร้อยเอ็ด!I634+เลย!I634+ศรีสะเกษ!I634+สกลนคร!I634+สุรินทร์!I634+หนองคาย!I634+หนองบัวลำภู!I634+อำนาจเจริญ!I634+อุดรธานี!I634+อุบลราชธานี!I634</f>
        <v>127980000</v>
      </c>
      <c r="J634" s="341">
        <f ca="1">กาฬสินธุ์!J634+ขอนแก่น!J634+ชัยภูมิ!J634+นครพนม!J634+นครราชสีมา!J634+บึงกาฬ!J634+บุรีรัมย์!J634+มหาสารคาม!J634+มุกดาหาร!J634+ยโสธร!J634+ร้อยเอ็ด!J634+เลย!J634+ศรีสะเกษ!J634+สกลนคร!J634+สุรินทร์!J634+หนองคาย!J634+หนองบัวลำภู!J634+อำนาจเจริญ!J634+อุดรธานี!J634+อุบลราชธานี!J634</f>
        <v>52544000</v>
      </c>
      <c r="K634" s="342">
        <f t="shared" ca="1" si="98"/>
        <v>41.05641506485388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กาฬสินธุ์!I635+ขอนแก่น!I635+ชัยภูมิ!I635+นครพนม!I635+นครราชสีมา!I635+บึงกาฬ!I635+บุรีรัมย์!I635+มหาสารคาม!I635+มุกดาหาร!I635+ยโสธร!I635+ร้อยเอ็ด!I635+เลย!I635+ศรีสะเกษ!I635+สกลนคร!I635+สุรินทร์!I635+หนองคาย!I635+หนองบัวลำภู!I635+อำนาจเจริญ!I635+อุดรธานี!I635+อุบลราชธานี!I635</f>
        <v>3405</v>
      </c>
      <c r="J635" s="504">
        <f ca="1">กาฬสินธุ์!J635+ขอนแก่น!J635+ชัยภูมิ!J635+นครพนม!J635+นครราชสีมา!J635+บึงกาฬ!J635+บุรีรัมย์!J635+มหาสารคาม!J635+มุกดาหาร!J635+ยโสธร!J635+ร้อยเอ็ด!J635+เลย!J635+ศรีสะเกษ!J635+สกลนคร!J635+สุรินทร์!J635+หนองคาย!J635+หนองบัวลำภู!J635+อำนาจเจริญ!J635+อุดรธานี!J635+อุบลราชธานี!J635</f>
        <v>1337</v>
      </c>
      <c r="K635" s="486">
        <f t="shared" ca="1" si="98"/>
        <v>39.265785609397945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12" sqref="J12"/>
      <selection pane="bottomLeft" activeCell="G555" sqref="G555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56" t="s">
        <v>0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</row>
    <row r="2" spans="1:16" ht="18" customHeight="1" x14ac:dyDescent="0.35">
      <c r="A2" s="556" t="s">
        <v>254</v>
      </c>
      <c r="B2" s="556"/>
      <c r="C2" s="556"/>
      <c r="D2" s="556"/>
      <c r="E2" s="556"/>
      <c r="F2" s="556"/>
      <c r="G2" s="556"/>
      <c r="H2" s="556"/>
      <c r="I2" s="556"/>
      <c r="J2" s="556"/>
      <c r="K2" s="556"/>
      <c r="L2" s="556"/>
      <c r="M2" s="556"/>
      <c r="N2" s="556"/>
      <c r="O2" s="556"/>
      <c r="P2" s="556"/>
    </row>
    <row r="3" spans="1:16" ht="18" customHeight="1" x14ac:dyDescent="0.35">
      <c r="A3" s="556" t="s">
        <v>278</v>
      </c>
      <c r="B3" s="556"/>
      <c r="C3" s="556"/>
      <c r="D3" s="556"/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6"/>
      <c r="P3" s="55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79" t="s">
        <v>2</v>
      </c>
      <c r="B5" s="565"/>
      <c r="C5" s="565"/>
      <c r="D5" s="565"/>
      <c r="E5" s="565"/>
      <c r="F5" s="565"/>
      <c r="G5" s="566"/>
      <c r="H5" s="578" t="s">
        <v>3</v>
      </c>
      <c r="I5" s="559" t="s">
        <v>4</v>
      </c>
      <c r="J5" s="560"/>
      <c r="K5" s="561"/>
      <c r="L5" s="562" t="s">
        <v>5</v>
      </c>
      <c r="M5" s="561"/>
      <c r="N5" s="563" t="s">
        <v>6</v>
      </c>
      <c r="O5" s="560"/>
      <c r="P5" s="561"/>
    </row>
    <row r="6" spans="1:16" ht="21.75" customHeight="1" x14ac:dyDescent="0.35">
      <c r="A6" s="567"/>
      <c r="B6" s="568"/>
      <c r="C6" s="568"/>
      <c r="D6" s="568"/>
      <c r="E6" s="568"/>
      <c r="F6" s="568"/>
      <c r="G6" s="569"/>
      <c r="H6" s="55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80" t="s">
        <v>15</v>
      </c>
      <c r="B7" s="560"/>
      <c r="C7" s="560"/>
      <c r="D7" s="560"/>
      <c r="E7" s="560"/>
      <c r="F7" s="560"/>
      <c r="G7" s="561"/>
      <c r="H7" s="512"/>
      <c r="I7" s="513"/>
      <c r="J7" s="513"/>
      <c r="K7" s="514"/>
      <c r="L7" s="515"/>
      <c r="M7" s="514"/>
      <c r="N7" s="515"/>
      <c r="O7" s="516"/>
      <c r="P7" s="516"/>
    </row>
    <row r="8" spans="1:16" ht="21.75" customHeight="1" x14ac:dyDescent="0.45">
      <c r="A8" s="17"/>
      <c r="B8" s="18"/>
      <c r="C8" s="19" t="s">
        <v>16</v>
      </c>
      <c r="D8" s="571" t="s">
        <v>17</v>
      </c>
      <c r="E8" s="555"/>
      <c r="F8" s="555"/>
      <c r="G8" s="555"/>
      <c r="H8" s="20" t="s">
        <v>12</v>
      </c>
      <c r="I8" s="21"/>
      <c r="J8" s="21"/>
      <c r="K8" s="22"/>
      <c r="L8" s="23">
        <f t="shared" ref="L8:N8" ca="1" si="0">L9+L10</f>
        <v>5947383</v>
      </c>
      <c r="M8" s="23">
        <f t="shared" ca="1" si="0"/>
        <v>2723054</v>
      </c>
      <c r="N8" s="23">
        <f t="shared" ca="1" si="0"/>
        <v>2828242.4299999997</v>
      </c>
      <c r="O8" s="22">
        <f t="shared" ref="O8:O16" ca="1" si="1">IF(L8&gt;0,N8*100/L8,0)</f>
        <v>47.554402163102665</v>
      </c>
      <c r="P8" s="22">
        <f t="shared" ref="P8:P16" ca="1" si="2">IF(M8&gt;0,N8*100/M8,0)</f>
        <v>103.86288446721953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5947383</v>
      </c>
      <c r="M10" s="30">
        <f t="shared" ca="1" si="4"/>
        <v>2723054</v>
      </c>
      <c r="N10" s="30">
        <f t="shared" ca="1" si="4"/>
        <v>2828242.4299999997</v>
      </c>
      <c r="O10" s="29">
        <f t="shared" ca="1" si="1"/>
        <v>47.554402163102665</v>
      </c>
      <c r="P10" s="29">
        <f t="shared" ca="1" si="2"/>
        <v>103.86288446721953</v>
      </c>
    </row>
    <row r="11" spans="1:16" ht="21.75" customHeight="1" x14ac:dyDescent="0.45">
      <c r="A11" s="31"/>
      <c r="B11" s="32"/>
      <c r="C11" s="33" t="s">
        <v>16</v>
      </c>
      <c r="D11" s="572" t="s">
        <v>20</v>
      </c>
      <c r="E11" s="553"/>
      <c r="F11" s="55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5715983</v>
      </c>
      <c r="M12" s="38">
        <f t="shared" ca="1" si="6"/>
        <v>2491654</v>
      </c>
      <c r="N12" s="38">
        <f t="shared" ca="1" si="6"/>
        <v>2596842.4299999997</v>
      </c>
      <c r="O12" s="38">
        <f t="shared" ca="1" si="1"/>
        <v>45.431248308471169</v>
      </c>
      <c r="P12" s="38">
        <f t="shared" ca="1" si="2"/>
        <v>104.22163069190184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1816700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3899283</v>
      </c>
      <c r="M14" s="38">
        <f t="shared" si="8"/>
        <v>0</v>
      </c>
      <c r="N14" s="38">
        <f t="shared" ca="1" si="8"/>
        <v>910177.3</v>
      </c>
      <c r="O14" s="38">
        <f t="shared" ca="1" si="1"/>
        <v>23.342170855513693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2" t="s">
        <v>23</v>
      </c>
      <c r="E15" s="55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231400</v>
      </c>
      <c r="M16" s="38">
        <f t="shared" ca="1" si="10"/>
        <v>231400</v>
      </c>
      <c r="N16" s="38">
        <f t="shared" ca="1" si="10"/>
        <v>231400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80" t="s">
        <v>24</v>
      </c>
      <c r="B17" s="560"/>
      <c r="C17" s="560"/>
      <c r="D17" s="560"/>
      <c r="E17" s="560"/>
      <c r="F17" s="560"/>
      <c r="G17" s="561"/>
      <c r="H17" s="512"/>
      <c r="I17" s="513"/>
      <c r="J17" s="513"/>
      <c r="K17" s="514"/>
      <c r="L17" s="515"/>
      <c r="M17" s="514"/>
      <c r="N17" s="515"/>
      <c r="O17" s="516"/>
      <c r="P17" s="516"/>
    </row>
    <row r="18" spans="1:16" ht="21.75" customHeight="1" x14ac:dyDescent="0.45">
      <c r="A18" s="17"/>
      <c r="B18" s="18"/>
      <c r="C18" s="19" t="s">
        <v>16</v>
      </c>
      <c r="D18" s="571" t="s">
        <v>17</v>
      </c>
      <c r="E18" s="555"/>
      <c r="F18" s="555"/>
      <c r="G18" s="555"/>
      <c r="H18" s="20" t="s">
        <v>12</v>
      </c>
      <c r="I18" s="21"/>
      <c r="J18" s="21"/>
      <c r="K18" s="22"/>
      <c r="L18" s="23">
        <f t="shared" ref="L18:N18" ca="1" si="11">L19+L20</f>
        <v>3412905</v>
      </c>
      <c r="M18" s="23">
        <f t="shared" ca="1" si="11"/>
        <v>2723054</v>
      </c>
      <c r="N18" s="23">
        <f t="shared" ca="1" si="11"/>
        <v>1918065.13</v>
      </c>
      <c r="O18" s="22">
        <f t="shared" ref="O18:O20" ca="1" si="12">IF(L18&gt;0,N18*100/L18,0)</f>
        <v>56.200366842909489</v>
      </c>
      <c r="P18" s="22">
        <f t="shared" ref="P18:P26" ca="1" si="13">IF(M18&gt;0,N18*100/M18,0)</f>
        <v>70.43801298101323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3412905</v>
      </c>
      <c r="M20" s="30">
        <f t="shared" ca="1" si="15"/>
        <v>2723054</v>
      </c>
      <c r="N20" s="30">
        <f t="shared" ca="1" si="15"/>
        <v>1918065.13</v>
      </c>
      <c r="O20" s="29">
        <f t="shared" ca="1" si="12"/>
        <v>56.200366842909489</v>
      </c>
      <c r="P20" s="29">
        <f t="shared" ca="1" si="13"/>
        <v>70.43801298101323</v>
      </c>
    </row>
    <row r="21" spans="1:16" ht="21.75" customHeight="1" x14ac:dyDescent="0.45">
      <c r="A21" s="31"/>
      <c r="B21" s="32"/>
      <c r="C21" s="33" t="s">
        <v>16</v>
      </c>
      <c r="D21" s="572" t="s">
        <v>20</v>
      </c>
      <c r="E21" s="553"/>
      <c r="F21" s="55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3181505</v>
      </c>
      <c r="M22" s="41">
        <f t="shared" ca="1" si="18"/>
        <v>2491654</v>
      </c>
      <c r="N22" s="38">
        <f t="shared" ca="1" si="18"/>
        <v>1686665.13</v>
      </c>
      <c r="O22" s="38">
        <f t="shared" ca="1" si="17"/>
        <v>53.01469367484885</v>
      </c>
      <c r="P22" s="38">
        <f t="shared" ca="1" si="13"/>
        <v>67.69259014293317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1816700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1364805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2" t="s">
        <v>23</v>
      </c>
      <c r="E25" s="55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231400</v>
      </c>
      <c r="M26" s="49">
        <f t="shared" ca="1" si="22"/>
        <v>231400</v>
      </c>
      <c r="N26" s="49">
        <f t="shared" ca="1" si="22"/>
        <v>231400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80" t="s">
        <v>25</v>
      </c>
      <c r="B27" s="560"/>
      <c r="C27" s="560"/>
      <c r="D27" s="560"/>
      <c r="E27" s="560"/>
      <c r="F27" s="560"/>
      <c r="G27" s="561"/>
      <c r="H27" s="512"/>
      <c r="I27" s="513"/>
      <c r="J27" s="513"/>
      <c r="K27" s="514"/>
      <c r="L27" s="515"/>
      <c r="M27" s="514"/>
      <c r="N27" s="515"/>
      <c r="O27" s="516"/>
      <c r="P27" s="516"/>
    </row>
    <row r="28" spans="1:16" ht="21.75" customHeight="1" x14ac:dyDescent="0.45">
      <c r="A28" s="17"/>
      <c r="B28" s="18"/>
      <c r="C28" s="19" t="s">
        <v>16</v>
      </c>
      <c r="D28" s="571" t="s">
        <v>17</v>
      </c>
      <c r="E28" s="555"/>
      <c r="F28" s="555"/>
      <c r="G28" s="555"/>
      <c r="H28" s="20" t="s">
        <v>12</v>
      </c>
      <c r="I28" s="21"/>
      <c r="J28" s="21"/>
      <c r="K28" s="22"/>
      <c r="L28" s="23">
        <f t="shared" ref="L28:N28" ca="1" si="23">L29+L30</f>
        <v>2534478</v>
      </c>
      <c r="M28" s="23">
        <f t="shared" si="23"/>
        <v>0</v>
      </c>
      <c r="N28" s="23">
        <f t="shared" ca="1" si="23"/>
        <v>910177.3</v>
      </c>
      <c r="O28" s="22">
        <f t="shared" ref="O28:O30" ca="1" si="24">IF(L28&gt;0,N28*100/L28,0)</f>
        <v>35.911824841249363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2534478</v>
      </c>
      <c r="M30" s="30">
        <f t="shared" si="27"/>
        <v>0</v>
      </c>
      <c r="N30" s="30">
        <f t="shared" ca="1" si="27"/>
        <v>910177.3</v>
      </c>
      <c r="O30" s="29">
        <f t="shared" ca="1" si="24"/>
        <v>35.911824841249363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2" t="s">
        <v>20</v>
      </c>
      <c r="E31" s="553"/>
      <c r="F31" s="55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2534478</v>
      </c>
      <c r="M32" s="38">
        <f t="shared" si="30"/>
        <v>0</v>
      </c>
      <c r="N32" s="38">
        <f t="shared" ca="1" si="30"/>
        <v>910177.3</v>
      </c>
      <c r="O32" s="38">
        <f t="shared" ca="1" si="29"/>
        <v>35.911824841249363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2534478</v>
      </c>
      <c r="M34" s="38">
        <f t="shared" si="32"/>
        <v>0</v>
      </c>
      <c r="N34" s="38">
        <f t="shared" ca="1" si="32"/>
        <v>910177.3</v>
      </c>
      <c r="O34" s="38">
        <f t="shared" ca="1" si="29"/>
        <v>35.911824841249363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2" t="s">
        <v>23</v>
      </c>
      <c r="E35" s="55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3412905</v>
      </c>
      <c r="M37" s="54">
        <f t="shared" ca="1" si="33"/>
        <v>2723054</v>
      </c>
      <c r="N37" s="54">
        <f t="shared" ca="1" si="33"/>
        <v>1918065.13</v>
      </c>
      <c r="O37" s="55">
        <f t="shared" ca="1" si="29"/>
        <v>56.200366842909489</v>
      </c>
      <c r="P37" s="55">
        <f t="shared" ca="1" si="25"/>
        <v>70.43801298101323</v>
      </c>
    </row>
    <row r="38" spans="1:16" ht="21.75" customHeight="1" x14ac:dyDescent="0.45">
      <c r="A38" s="581" t="s">
        <v>27</v>
      </c>
      <c r="B38" s="560"/>
      <c r="C38" s="560"/>
      <c r="D38" s="560"/>
      <c r="E38" s="560"/>
      <c r="F38" s="560"/>
      <c r="G38" s="561"/>
      <c r="H38" s="517"/>
      <c r="I38" s="518"/>
      <c r="J38" s="518"/>
      <c r="K38" s="519"/>
      <c r="L38" s="520"/>
      <c r="M38" s="520"/>
      <c r="N38" s="520"/>
      <c r="O38" s="520"/>
      <c r="P38" s="520"/>
    </row>
    <row r="39" spans="1:16" ht="21.75" customHeight="1" x14ac:dyDescent="0.45">
      <c r="A39" s="521"/>
      <c r="B39" s="582" t="s">
        <v>28</v>
      </c>
      <c r="C39" s="555"/>
      <c r="D39" s="555"/>
      <c r="E39" s="555"/>
      <c r="F39" s="555"/>
      <c r="G39" s="555"/>
      <c r="H39" s="522"/>
      <c r="I39" s="523"/>
      <c r="J39" s="523"/>
      <c r="K39" s="524"/>
      <c r="L39" s="525"/>
      <c r="M39" s="525"/>
      <c r="N39" s="525"/>
      <c r="O39" s="524"/>
      <c r="P39" s="524"/>
    </row>
    <row r="40" spans="1:16" ht="21.75" customHeight="1" x14ac:dyDescent="0.45">
      <c r="A40" s="526"/>
      <c r="B40" s="527" t="s">
        <v>29</v>
      </c>
      <c r="C40" s="528"/>
      <c r="D40" s="528"/>
      <c r="E40" s="528"/>
      <c r="F40" s="528"/>
      <c r="G40" s="528"/>
      <c r="H40" s="529"/>
      <c r="I40" s="530"/>
      <c r="J40" s="530"/>
      <c r="K40" s="531"/>
      <c r="L40" s="532"/>
      <c r="M40" s="532"/>
      <c r="N40" s="532"/>
      <c r="O40" s="531"/>
      <c r="P40" s="531"/>
    </row>
    <row r="41" spans="1:16" ht="21.75" customHeight="1" x14ac:dyDescent="0.45">
      <c r="A41" s="72"/>
      <c r="B41" s="73"/>
      <c r="C41" s="74" t="s">
        <v>16</v>
      </c>
      <c r="D41" s="575" t="s">
        <v>17</v>
      </c>
      <c r="E41" s="553"/>
      <c r="F41" s="553"/>
      <c r="G41" s="553"/>
      <c r="H41" s="75" t="s">
        <v>12</v>
      </c>
      <c r="I41" s="76"/>
      <c r="J41" s="76"/>
      <c r="K41" s="77"/>
      <c r="L41" s="78">
        <f t="shared" ref="L41:N41" ca="1" si="34">L42+L43</f>
        <v>694100</v>
      </c>
      <c r="M41" s="78">
        <f t="shared" ca="1" si="34"/>
        <v>520600</v>
      </c>
      <c r="N41" s="78">
        <f t="shared" ca="1" si="34"/>
        <v>368170.48</v>
      </c>
      <c r="O41" s="77">
        <f t="shared" ref="O41:O43" ca="1" si="35">IF(L41&gt;0,N41*100/L41,0)</f>
        <v>53.042858377755365</v>
      </c>
      <c r="P41" s="77">
        <f t="shared" ref="P41:P43" ca="1" si="36">IF(M41&gt;0,N41*100/M41,0)</f>
        <v>70.720414905877831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694100</v>
      </c>
      <c r="M43" s="78">
        <f t="shared" ca="1" si="38"/>
        <v>520600</v>
      </c>
      <c r="N43" s="78">
        <f t="shared" ca="1" si="38"/>
        <v>368170.48</v>
      </c>
      <c r="O43" s="77">
        <f t="shared" ca="1" si="35"/>
        <v>53.042858377755365</v>
      </c>
      <c r="P43" s="77">
        <f t="shared" ca="1" si="36"/>
        <v>70.720414905877831</v>
      </c>
    </row>
    <row r="44" spans="1:16" ht="21.75" customHeight="1" x14ac:dyDescent="0.45">
      <c r="A44" s="79"/>
      <c r="B44" s="80"/>
      <c r="C44" s="81" t="s">
        <v>16</v>
      </c>
      <c r="D44" s="552" t="s">
        <v>20</v>
      </c>
      <c r="E44" s="553"/>
      <c r="F44" s="55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694100</v>
      </c>
      <c r="M45" s="533">
        <f ca="1">IFERROR(__xludf.DUMMYFUNCTION("IMPORTRANGE(""https://docs.google.com/spreadsheets/d/1Yj_ptqi66GCucihVvJfMjLAmec39IyEx_6qawtMGysU/edit?usp=sharing"",""สบก!Q46"")"),520600)</f>
        <v>520600</v>
      </c>
      <c r="N45" s="533">
        <f ca="1">IFERROR(__xludf.DUMMYFUNCTION("IMPORTRANGE(""https://docs.google.com/spreadsheets/d/1Yj_ptqi66GCucihVvJfMjLAmec39IyEx_6qawtMGysU/edit?usp=sharing"",""สบก!R46"")"),368170.48)</f>
        <v>368170.48</v>
      </c>
      <c r="O45" s="534">
        <f ca="1">IF(L45&gt;0,N45*100/L45,0)</f>
        <v>53.042858377755365</v>
      </c>
      <c r="P45" s="534">
        <f ca="1">IF(M45&gt;0,N45*100/M45,0)</f>
        <v>70.720414905877831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533">
        <f ca="1">IFERROR(__xludf.DUMMYFUNCTION("IMPORTRANGE(""https://docs.google.com/spreadsheets/d/1Yj_ptqi66GCucihVvJfMjLAmec39IyEx_6qawtMGysU/edit?usp=sharing"",""สบก!M46"")"),694100)</f>
        <v>694100</v>
      </c>
      <c r="M46" s="535"/>
      <c r="N46" s="38"/>
      <c r="O46" s="534"/>
      <c r="P46" s="534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533">
        <f ca="1">IFERROR(__xludf.DUMMYFUNCTION("IMPORTRANGE(""https://docs.google.com/spreadsheets/d/1Yj_ptqi66GCucihVvJfMjLAmec39IyEx_6qawtMGysU/edit?usp=sharing"",""สบก!N46"")"),0)</f>
        <v>0</v>
      </c>
      <c r="M47" s="535"/>
      <c r="N47" s="38"/>
      <c r="O47" s="534"/>
      <c r="P47" s="534"/>
    </row>
    <row r="48" spans="1:16" ht="21.75" customHeight="1" x14ac:dyDescent="0.45">
      <c r="A48" s="79"/>
      <c r="B48" s="80"/>
      <c r="C48" s="81" t="s">
        <v>16</v>
      </c>
      <c r="D48" s="552" t="s">
        <v>23</v>
      </c>
      <c r="E48" s="55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535"/>
      <c r="N48" s="41"/>
      <c r="O48" s="535"/>
      <c r="P48" s="535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33">
        <f ca="1">IFERROR(__xludf.DUMMYFUNCTION("IMPORTRANGE(""https://docs.google.com/spreadsheets/d/1Yj_ptqi66GCucihVvJfMjLAmec39IyEx_6qawtMGysU/edit?usp=sharing"",""สบก!O46"")"),0)</f>
        <v>0</v>
      </c>
      <c r="M49" s="536"/>
      <c r="N49" s="533">
        <f ca="1">IFERROR(__xludf.DUMMYFUNCTION("IMPORTRANGE(""https://docs.google.com/spreadsheets/d/1Yj_ptqi66GCucihVvJfMjLAmec39IyEx_6qawtMGysU/edit?usp=sharing"",""สบก!S46"")"),0)</f>
        <v>0</v>
      </c>
      <c r="O49" s="536">
        <f ca="1">IF(L49&gt;0,N49*100/L49,0)</f>
        <v>0</v>
      </c>
      <c r="P49" s="536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76" t="s">
        <v>32</v>
      </c>
      <c r="C52" s="553"/>
      <c r="D52" s="553"/>
      <c r="E52" s="553"/>
      <c r="F52" s="553"/>
      <c r="G52" s="55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77" t="s">
        <v>17</v>
      </c>
      <c r="E53" s="553"/>
      <c r="F53" s="553"/>
      <c r="G53" s="553"/>
      <c r="H53" s="118" t="s">
        <v>12</v>
      </c>
      <c r="I53" s="119"/>
      <c r="J53" s="119"/>
      <c r="K53" s="120"/>
      <c r="L53" s="121">
        <f t="shared" ref="L53:N53" ca="1" si="39">L54+L55</f>
        <v>490800</v>
      </c>
      <c r="M53" s="121">
        <f t="shared" ca="1" si="39"/>
        <v>368424</v>
      </c>
      <c r="N53" s="121">
        <f t="shared" ca="1" si="39"/>
        <v>229079</v>
      </c>
      <c r="O53" s="120">
        <f t="shared" ref="O53:O55" ca="1" si="40">IF(L53&gt;0,N53*100/L53,0)</f>
        <v>46.674612876935612</v>
      </c>
      <c r="P53" s="120">
        <f t="shared" ref="P53:P55" ca="1" si="41">IF(M53&gt;0,N53*100/M53,0)</f>
        <v>62.178088289579399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490800</v>
      </c>
      <c r="M55" s="121">
        <f t="shared" ca="1" si="43"/>
        <v>368424</v>
      </c>
      <c r="N55" s="121">
        <f t="shared" ca="1" si="43"/>
        <v>229079</v>
      </c>
      <c r="O55" s="120">
        <f t="shared" ca="1" si="40"/>
        <v>46.674612876935612</v>
      </c>
      <c r="P55" s="120">
        <f t="shared" ca="1" si="41"/>
        <v>62.178088289579399</v>
      </c>
    </row>
    <row r="56" spans="1:16" ht="21.75" customHeight="1" x14ac:dyDescent="0.45">
      <c r="A56" s="79"/>
      <c r="B56" s="80"/>
      <c r="C56" s="81" t="s">
        <v>16</v>
      </c>
      <c r="D56" s="552" t="s">
        <v>20</v>
      </c>
      <c r="E56" s="553"/>
      <c r="F56" s="55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490800</v>
      </c>
      <c r="M57" s="533">
        <f ca="1">IFERROR(__xludf.DUMMYFUNCTION("IMPORTRANGE(""https://docs.google.com/spreadsheets/d/1Yj_ptqi66GCucihVvJfMjLAmec39IyEx_6qawtMGysU/edit?usp=sharing"",""สบก!Z46"")"),368424)</f>
        <v>368424</v>
      </c>
      <c r="N57" s="533">
        <f ca="1">IFERROR(__xludf.DUMMYFUNCTION("IMPORTRANGE(""https://docs.google.com/spreadsheets/d/1Yj_ptqi66GCucihVvJfMjLAmec39IyEx_6qawtMGysU/edit?usp=sharing"",""สบก!AA46"")"),229079)</f>
        <v>229079</v>
      </c>
      <c r="O57" s="534">
        <f ca="1">IF(L57&gt;0,N57*100/L57,0)</f>
        <v>46.674612876935612</v>
      </c>
      <c r="P57" s="534">
        <f ca="1">IF(M57&gt;0,N57*100/M57,0)</f>
        <v>62.178088289579399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533">
        <f ca="1">IFERROR(__xludf.DUMMYFUNCTION("IMPORTRANGE(""https://docs.google.com/spreadsheets/d/1Yj_ptqi66GCucihVvJfMjLAmec39IyEx_6qawtMGysU/edit?usp=sharing"",""สบก!V46"")"),490800)</f>
        <v>490800</v>
      </c>
      <c r="M58" s="535"/>
      <c r="N58" s="38"/>
      <c r="O58" s="534"/>
      <c r="P58" s="534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533">
        <f ca="1">IFERROR(__xludf.DUMMYFUNCTION("IMPORTRANGE(""https://docs.google.com/spreadsheets/d/1Yj_ptqi66GCucihVvJfMjLAmec39IyEx_6qawtMGysU/edit?usp=sharing"",""สบก!W46"")"),0)</f>
        <v>0</v>
      </c>
      <c r="M59" s="535"/>
      <c r="N59" s="38"/>
      <c r="O59" s="534"/>
      <c r="P59" s="534"/>
    </row>
    <row r="60" spans="1:16" ht="21.75" customHeight="1" x14ac:dyDescent="0.45">
      <c r="A60" s="79"/>
      <c r="B60" s="80"/>
      <c r="C60" s="81" t="s">
        <v>16</v>
      </c>
      <c r="D60" s="552" t="s">
        <v>23</v>
      </c>
      <c r="E60" s="55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535"/>
      <c r="N60" s="41"/>
      <c r="O60" s="535"/>
      <c r="P60" s="535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33">
        <f ca="1">IFERROR(__xludf.DUMMYFUNCTION("IMPORTRANGE(""https://docs.google.com/spreadsheets/d/1Yj_ptqi66GCucihVvJfMjLAmec39IyEx_6qawtMGysU/edit?usp=sharing"",""สบก!X46"")"),0)</f>
        <v>0</v>
      </c>
      <c r="M61" s="536"/>
      <c r="N61" s="533">
        <f ca="1">IFERROR(__xludf.DUMMYFUNCTION("IMPORTRANGE(""https://docs.google.com/spreadsheets/d/1Yj_ptqi66GCucihVvJfMjLAmec39IyEx_6qawtMGysU/edit?usp=sharing"",""สบก!AB46"")"),0)</f>
        <v>0</v>
      </c>
      <c r="O61" s="536">
        <f ca="1">IF(L61&gt;0,N61*100/L61,0)</f>
        <v>0</v>
      </c>
      <c r="P61" s="536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IFERROR(__xludf.DUMMYFUNCTION("IMPORTRANGE(""https://docs.google.com/spreadsheets/d/1XL5vhW3sbDhbH9Cz0tuDiY8C3ctxq1tqvaCgkFb8cCA/edit?usp=sharing"",""มุกดาหาร!I9"")"),2)</f>
        <v>2</v>
      </c>
      <c r="J64" s="142">
        <f ca="1">IFERROR(__xludf.DUMMYFUNCTION("IMPORTRANGE(""https://docs.google.com/spreadsheets/d/1XL5vhW3sbDhbH9Cz0tuDiY8C3ctxq1tqvaCgkFb8cCA/edit?usp=sharing"",""มุกดาหาร!J9"")"),2)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IFERROR(__xludf.DUMMYFUNCTION("IMPORTRANGE(""https://docs.google.com/spreadsheets/d/1XL5vhW3sbDhbH9Cz0tuDiY8C3ctxq1tqvaCgkFb8cCA/edit?usp=sharing"",""มุกดาหาร!I10"")"),80)</f>
        <v>80</v>
      </c>
      <c r="J65" s="142">
        <f ca="1">IFERROR(__xludf.DUMMYFUNCTION("IMPORTRANGE(""https://docs.google.com/spreadsheets/d/1XL5vhW3sbDhbH9Cz0tuDiY8C3ctxq1tqvaCgkFb8cCA/edit?usp=sharing"",""มุกดาหาร!J10"")"),80)</f>
        <v>80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54" t="s">
        <v>17</v>
      </c>
      <c r="E66" s="555"/>
      <c r="F66" s="555"/>
      <c r="G66" s="555"/>
      <c r="H66" s="149" t="s">
        <v>12</v>
      </c>
      <c r="I66" s="150"/>
      <c r="J66" s="150"/>
      <c r="K66" s="151"/>
      <c r="L66" s="152">
        <f t="shared" ref="L66:N66" ca="1" si="45">L67+L68</f>
        <v>875800</v>
      </c>
      <c r="M66" s="152">
        <f t="shared" ca="1" si="45"/>
        <v>750800</v>
      </c>
      <c r="N66" s="152">
        <f t="shared" ca="1" si="45"/>
        <v>533012.65</v>
      </c>
      <c r="O66" s="151">
        <f t="shared" ref="O66:O68" ca="1" si="46">IF(L66&gt;0,N66*100/L66,0)</f>
        <v>60.860087919616348</v>
      </c>
      <c r="P66" s="151">
        <f t="shared" ref="P66:P68" ca="1" si="47">IF(M66&gt;0,N66*100/M66,0)</f>
        <v>70.992627863612142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875800</v>
      </c>
      <c r="M68" s="157">
        <f t="shared" ca="1" si="49"/>
        <v>750800</v>
      </c>
      <c r="N68" s="157">
        <f t="shared" ca="1" si="49"/>
        <v>533012.65</v>
      </c>
      <c r="O68" s="156">
        <f t="shared" ca="1" si="46"/>
        <v>60.860087919616348</v>
      </c>
      <c r="P68" s="156">
        <f t="shared" ca="1" si="47"/>
        <v>70.992627863612142</v>
      </c>
    </row>
    <row r="69" spans="1:16" ht="21.75" customHeight="1" x14ac:dyDescent="0.45">
      <c r="A69" s="158"/>
      <c r="B69" s="159"/>
      <c r="C69" s="159" t="s">
        <v>16</v>
      </c>
      <c r="D69" s="552" t="s">
        <v>20</v>
      </c>
      <c r="E69" s="553"/>
      <c r="F69" s="55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875800</v>
      </c>
      <c r="M70" s="537">
        <f ca="1">IFERROR(__xludf.DUMMYFUNCTION("IMPORTRANGE(""https://docs.google.com/spreadsheets/d/1Yj_ptqi66GCucihVvJfMjLAmec39IyEx_6qawtMGysU/edit?usp=sharing"",""สบก!AI46"")"),750800)</f>
        <v>750800</v>
      </c>
      <c r="N70" s="538">
        <f ca="1">IFERROR(__xludf.DUMMYFUNCTION("IMPORTRANGE(""https://docs.google.com/spreadsheets/d/1Yj_ptqi66GCucihVvJfMjLAmec39IyEx_6qawtMGysU/edit?usp=sharing"",""สบก!AJ46"")"),533012.65)</f>
        <v>533012.65</v>
      </c>
      <c r="O70" s="169">
        <f ca="1">IF(L70&gt;0,N70*100/L70,0)</f>
        <v>60.860087919616348</v>
      </c>
      <c r="P70" s="169">
        <f ca="1">IF(M70&gt;0,N70*100/M70,0)</f>
        <v>70.992627863612142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537">
        <f ca="1">IFERROR(__xludf.DUMMYFUNCTION("IMPORTRANGE(""https://docs.google.com/spreadsheets/d/1Yj_ptqi66GCucihVvJfMjLAmec39IyEx_6qawtMGysU/edit?usp=sharing"",""สบก!AE46"")"),193800)</f>
        <v>193800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537">
        <f ca="1">IFERROR(__xludf.DUMMYFUNCTION("IMPORTRANGE(""https://docs.google.com/spreadsheets/d/1Yj_ptqi66GCucihVvJfMjLAmec39IyEx_6qawtMGysU/edit?usp=sharing"",""สบก!AF46"")"),682000)</f>
        <v>682000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52" t="s">
        <v>23</v>
      </c>
      <c r="E73" s="553"/>
      <c r="F73" s="89"/>
      <c r="G73" s="82" t="s">
        <v>18</v>
      </c>
      <c r="H73" s="172" t="s">
        <v>12</v>
      </c>
      <c r="I73" s="84"/>
      <c r="J73" s="84"/>
      <c r="K73" s="85"/>
      <c r="L73" s="535">
        <v>0</v>
      </c>
      <c r="M73" s="535"/>
      <c r="N73" s="41"/>
      <c r="O73" s="535"/>
      <c r="P73" s="535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533">
        <f ca="1">IFERROR(__xludf.DUMMYFUNCTION("IMPORTRANGE(""https://docs.google.com/spreadsheets/d/1Yj_ptqi66GCucihVvJfMjLAmec39IyEx_6qawtMGysU/edit?usp=sharing"",""สบก!AG46"")"),0)</f>
        <v>0</v>
      </c>
      <c r="M74" s="536"/>
      <c r="N74" s="533">
        <f ca="1">IFERROR(__xludf.DUMMYFUNCTION("IMPORTRANGE(""https://docs.google.com/spreadsheets/d/1Yj_ptqi66GCucihVvJfMjLAmec39IyEx_6qawtMGysU/edit?usp=sharing"",""สบก!AK46"")"),0)</f>
        <v>0</v>
      </c>
      <c r="O74" s="536">
        <f ca="1">IF(L74&gt;0,N74*100/L74,0)</f>
        <v>0</v>
      </c>
      <c r="P74" s="536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IFERROR(__xludf.DUMMYFUNCTION("IMPORTRANGE(""https://docs.google.com/spreadsheets/d/1XL5vhW3sbDhbH9Cz0tuDiY8C3ctxq1tqvaCgkFb8cCA/edit?usp=sharing"",""มุกดาหาร!J16"")"),0)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IFERROR(__xludf.DUMMYFUNCTION("IMPORTRANGE(""https://docs.google.com/spreadsheets/d/1XL5vhW3sbDhbH9Cz0tuDiY8C3ctxq1tqvaCgkFb8cCA/edit?usp=sharing"",""มุกดาหาร!J17"")"),1)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IFERROR(__xludf.DUMMYFUNCTION("IMPORTRANGE(""https://docs.google.com/spreadsheets/d/1XL5vhW3sbDhbH9Cz0tuDiY8C3ctxq1tqvaCgkFb8cCA/edit?usp=sharing"",""มุกดาหาร!J18"")"),1)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IFERROR(__xludf.DUMMYFUNCTION("IMPORTRANGE(""https://docs.google.com/spreadsheets/d/1XL5vhW3sbDhbH9Cz0tuDiY8C3ctxq1tqvaCgkFb8cCA/edit?usp=sharing"",""มุกดาหาร!J19"")"),1)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IFERROR(__xludf.DUMMYFUNCTION("IMPORTRANGE(""https://docs.google.com/spreadsheets/d/1XL5vhW3sbDhbH9Cz0tuDiY8C3ctxq1tqvaCgkFb8cCA/edit?usp=sharing"",""มุกดาหาร!I20"")"),2)</f>
        <v>2</v>
      </c>
      <c r="J80" s="201">
        <f ca="1">IFERROR(__xludf.DUMMYFUNCTION("IMPORTRANGE(""https://docs.google.com/spreadsheets/d/1XL5vhW3sbDhbH9Cz0tuDiY8C3ctxq1tqvaCgkFb8cCA/edit?usp=sharing"",""มุกดาหาร!J20"")"),2)</f>
        <v>2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IFERROR(__xludf.DUMMYFUNCTION("IMPORTRANGE(""https://docs.google.com/spreadsheets/d/1XL5vhW3sbDhbH9Cz0tuDiY8C3ctxq1tqvaCgkFb8cCA/edit?usp=sharing"",""มุกดาหาร!I21"")"),80)</f>
        <v>80</v>
      </c>
      <c r="J81" s="201">
        <f ca="1">IFERROR(__xludf.DUMMYFUNCTION("IMPORTRANGE(""https://docs.google.com/spreadsheets/d/1XL5vhW3sbDhbH9Cz0tuDiY8C3ctxq1tqvaCgkFb8cCA/edit?usp=sharing"",""มุกดาหาร!J21"")"),80)</f>
        <v>80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IFERROR(__xludf.DUMMYFUNCTION("IMPORTRANGE(""https://docs.google.com/spreadsheets/d/1XL5vhW3sbDhbH9Cz0tuDiY8C3ctxq1tqvaCgkFb8cCA/edit?usp=sharing"",""มุกดาหาร!I22"")"),0)</f>
        <v>0</v>
      </c>
      <c r="J82" s="204">
        <f ca="1">IFERROR(__xludf.DUMMYFUNCTION("IMPORTRANGE(""https://docs.google.com/spreadsheets/d/1XL5vhW3sbDhbH9Cz0tuDiY8C3ctxq1tqvaCgkFb8cCA/edit?usp=sharing"",""มุกดาหาร!J22"")"),0)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IFERROR(__xludf.DUMMYFUNCTION("IMPORTRANGE(""https://docs.google.com/spreadsheets/d/1XL5vhW3sbDhbH9Cz0tuDiY8C3ctxq1tqvaCgkFb8cCA/edit?usp=sharing"",""มุกดาหาร!I23"")"),0)</f>
        <v>0</v>
      </c>
      <c r="J83" s="204">
        <f ca="1">IFERROR(__xludf.DUMMYFUNCTION("IMPORTRANGE(""https://docs.google.com/spreadsheets/d/1XL5vhW3sbDhbH9Cz0tuDiY8C3ctxq1tqvaCgkFb8cCA/edit?usp=sharing"",""มุกดาหาร!J23"")"),0)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IFERROR(__xludf.DUMMYFUNCTION("IMPORTRANGE(""https://docs.google.com/spreadsheets/d/1XL5vhW3sbDhbH9Cz0tuDiY8C3ctxq1tqvaCgkFb8cCA/edit?usp=sharing"",""มุกดาหาร!I24"")"),1)</f>
        <v>1</v>
      </c>
      <c r="J84" s="189">
        <f ca="1">IFERROR(__xludf.DUMMYFUNCTION("IMPORTRANGE(""https://docs.google.com/spreadsheets/d/1XL5vhW3sbDhbH9Cz0tuDiY8C3ctxq1tqvaCgkFb8cCA/edit?usp=sharing"",""มุกดาหาร!J24"")"),1)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IFERROR(__xludf.DUMMYFUNCTION("IMPORTRANGE(""https://docs.google.com/spreadsheets/d/1XL5vhW3sbDhbH9Cz0tuDiY8C3ctxq1tqvaCgkFb8cCA/edit?usp=sharing"",""มุกดาหาร!I25"")"),30)</f>
        <v>30</v>
      </c>
      <c r="J85" s="189">
        <f ca="1">IFERROR(__xludf.DUMMYFUNCTION("IMPORTRANGE(""https://docs.google.com/spreadsheets/d/1XL5vhW3sbDhbH9Cz0tuDiY8C3ctxq1tqvaCgkFb8cCA/edit?usp=sharing"",""มุกดาหาร!J25"")"),30)</f>
        <v>30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IFERROR(__xludf.DUMMYFUNCTION("IMPORTRANGE(""https://docs.google.com/spreadsheets/d/1XL5vhW3sbDhbH9Cz0tuDiY8C3ctxq1tqvaCgkFb8cCA/edit?usp=sharing"",""มุกดาหาร!I26"")"),1)</f>
        <v>1</v>
      </c>
      <c r="J86" s="204">
        <f ca="1">IFERROR(__xludf.DUMMYFUNCTION("IMPORTRANGE(""https://docs.google.com/spreadsheets/d/1XL5vhW3sbDhbH9Cz0tuDiY8C3ctxq1tqvaCgkFb8cCA/edit?usp=sharing"",""มุกดาหาร!J26"")"),1)</f>
        <v>1</v>
      </c>
      <c r="K86" s="163">
        <f t="shared" ca="1" si="50"/>
        <v>100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IFERROR(__xludf.DUMMYFUNCTION("IMPORTRANGE(""https://docs.google.com/spreadsheets/d/1XL5vhW3sbDhbH9Cz0tuDiY8C3ctxq1tqvaCgkFb8cCA/edit?usp=sharing"",""มุกดาหาร!I27"")"),50)</f>
        <v>50</v>
      </c>
      <c r="J87" s="204">
        <f ca="1">IFERROR(__xludf.DUMMYFUNCTION("IMPORTRANGE(""https://docs.google.com/spreadsheets/d/1XL5vhW3sbDhbH9Cz0tuDiY8C3ctxq1tqvaCgkFb8cCA/edit?usp=sharing"",""มุกดาหาร!J27"")"),50)</f>
        <v>50</v>
      </c>
      <c r="K87" s="163">
        <f t="shared" ca="1" si="50"/>
        <v>100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IFERROR(__xludf.DUMMYFUNCTION("IMPORTRANGE(""https://docs.google.com/spreadsheets/d/1XL5vhW3sbDhbH9Cz0tuDiY8C3ctxq1tqvaCgkFb8cCA/edit?usp=sharing"",""มุกดาหาร!I28"")"),0)</f>
        <v>0</v>
      </c>
      <c r="J88" s="204">
        <f ca="1">IFERROR(__xludf.DUMMYFUNCTION("IMPORTRANGE(""https://docs.google.com/spreadsheets/d/1XL5vhW3sbDhbH9Cz0tuDiY8C3ctxq1tqvaCgkFb8cCA/edit?usp=sharing"",""มุกดาหาร!J28"")"),0)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IFERROR(__xludf.DUMMYFUNCTION("IMPORTRANGE(""https://docs.google.com/spreadsheets/d/1XL5vhW3sbDhbH9Cz0tuDiY8C3ctxq1tqvaCgkFb8cCA/edit?usp=sharing"",""มุกดาหาร!J29"")"),0)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IFERROR(__xludf.DUMMYFUNCTION("IMPORTRANGE(""https://docs.google.com/spreadsheets/d/1XL5vhW3sbDhbH9Cz0tuDiY8C3ctxq1tqvaCgkFb8cCA/edit?usp=sharing"",""มุกดาหาร!J30"")"),0)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IFERROR(__xludf.DUMMYFUNCTION("IMPORTRANGE(""https://docs.google.com/spreadsheets/d/1XL5vhW3sbDhbH9Cz0tuDiY8C3ctxq1tqvaCgkFb8cCA/edit?usp=sharing"",""มุกดาหาร!I32"")"),4)</f>
        <v>4</v>
      </c>
      <c r="J92" s="142">
        <f ca="1">IFERROR(__xludf.DUMMYFUNCTION("IMPORTRANGE(""https://docs.google.com/spreadsheets/d/1XL5vhW3sbDhbH9Cz0tuDiY8C3ctxq1tqvaCgkFb8cCA/edit?usp=sharing"",""มุกดาหาร!J32"")"),4)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IFERROR(__xludf.DUMMYFUNCTION("IMPORTRANGE(""https://docs.google.com/spreadsheets/d/1XL5vhW3sbDhbH9Cz0tuDiY8C3ctxq1tqvaCgkFb8cCA/edit?usp=sharing"",""มุกดาหาร!I33"")"),1)</f>
        <v>1</v>
      </c>
      <c r="J93" s="142">
        <f ca="1">IFERROR(__xludf.DUMMYFUNCTION("IMPORTRANGE(""https://docs.google.com/spreadsheets/d/1XL5vhW3sbDhbH9Cz0tuDiY8C3ctxq1tqvaCgkFb8cCA/edit?usp=sharing"",""มุกดาหาร!J33"")"),1)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54" t="s">
        <v>17</v>
      </c>
      <c r="E94" s="555"/>
      <c r="F94" s="555"/>
      <c r="G94" s="555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133828</v>
      </c>
      <c r="O94" s="151">
        <f t="shared" ref="O94:O96" ca="1" si="53">IF(L94&gt;0,N94*100/L94,0)</f>
        <v>62.390675990675987</v>
      </c>
      <c r="P94" s="151">
        <f t="shared" ref="P94:P96" ca="1" si="54">IF(M94&gt;0,N94*100/M94,0)</f>
        <v>62.390675990675987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133828</v>
      </c>
      <c r="O96" s="156">
        <f t="shared" ca="1" si="53"/>
        <v>62.390675990675987</v>
      </c>
      <c r="P96" s="156">
        <f t="shared" ca="1" si="54"/>
        <v>62.390675990675987</v>
      </c>
    </row>
    <row r="97" spans="1:16" ht="21.75" customHeight="1" x14ac:dyDescent="0.45">
      <c r="A97" s="158"/>
      <c r="B97" s="159"/>
      <c r="C97" s="159" t="s">
        <v>16</v>
      </c>
      <c r="D97" s="552" t="s">
        <v>20</v>
      </c>
      <c r="E97" s="553"/>
      <c r="F97" s="55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537">
        <f ca="1">IFERROR(__xludf.DUMMYFUNCTION("IMPORTRANGE(""https://docs.google.com/spreadsheets/d/1Yj_ptqi66GCucihVvJfMjLAmec39IyEx_6qawtMGysU/edit?usp=sharing"",""สบก!AR46"")"),122100)</f>
        <v>122100</v>
      </c>
      <c r="N98" s="538">
        <f ca="1">IFERROR(__xludf.DUMMYFUNCTION("IMPORTRANGE(""https://docs.google.com/spreadsheets/d/1Yj_ptqi66GCucihVvJfMjLAmec39IyEx_6qawtMGysU/edit?usp=sharing"",""สบก!AS46"")"),41428)</f>
        <v>41428</v>
      </c>
      <c r="O98" s="169">
        <f ca="1">IF(L98&gt;0,N98*100/L98,0)</f>
        <v>33.929565929565932</v>
      </c>
      <c r="P98" s="169">
        <f ca="1">IF(M98&gt;0,N98*100/M98,0)</f>
        <v>33.929565929565932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537">
        <f ca="1">IFERROR(__xludf.DUMMYFUNCTION("IMPORTRANGE(""https://docs.google.com/spreadsheets/d/1Yj_ptqi66GCucihVvJfMjLAmec39IyEx_6qawtMGysU/edit?usp=sharing"",""สบก!AN46"")"),0)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537">
        <f ca="1">IFERROR(__xludf.DUMMYFUNCTION("IMPORTRANGE(""https://docs.google.com/spreadsheets/d/1Yj_ptqi66GCucihVvJfMjLAmec39IyEx_6qawtMGysU/edit?usp=sharing"",""สบก!AO46"")"),122100)</f>
        <v>122100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52" t="s">
        <v>23</v>
      </c>
      <c r="E101" s="553"/>
      <c r="F101" s="89"/>
      <c r="G101" s="82" t="s">
        <v>18</v>
      </c>
      <c r="H101" s="172" t="s">
        <v>12</v>
      </c>
      <c r="I101" s="188"/>
      <c r="J101" s="188"/>
      <c r="K101" s="224"/>
      <c r="L101" s="535">
        <v>0</v>
      </c>
      <c r="M101" s="535"/>
      <c r="N101" s="41"/>
      <c r="O101" s="535"/>
      <c r="P101" s="535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533">
        <f ca="1">IFERROR(__xludf.DUMMYFUNCTION("IMPORTRANGE(""https://docs.google.com/spreadsheets/d/1Yj_ptqi66GCucihVvJfMjLAmec39IyEx_6qawtMGysU/edit?usp=sharing"",""สบก!AP46"")"),92400)</f>
        <v>92400</v>
      </c>
      <c r="M102" s="536">
        <f ca="1">L102</f>
        <v>92400</v>
      </c>
      <c r="N102" s="533">
        <f ca="1">IFERROR(__xludf.DUMMYFUNCTION("IMPORTRANGE(""https://docs.google.com/spreadsheets/d/1Yj_ptqi66GCucihVvJfMjLAmec39IyEx_6qawtMGysU/edit?usp=sharing"",""สบก!AT46"")"),92400)</f>
        <v>92400</v>
      </c>
      <c r="O102" s="536">
        <f ca="1">IF(L102&gt;0,N102*100/L102,0)</f>
        <v>100</v>
      </c>
      <c r="P102" s="536">
        <f ca="1">IF(M102&gt;0,N102*100/M102,0)</f>
        <v>100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IFERROR(__xludf.DUMMYFUNCTION("IMPORTRANGE(""https://docs.google.com/spreadsheets/d/1XL5vhW3sbDhbH9Cz0tuDiY8C3ctxq1tqvaCgkFb8cCA/edit?usp=sharing"",""มุกดาหาร!J39"")"),0)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IFERROR(__xludf.DUMMYFUNCTION("IMPORTRANGE(""https://docs.google.com/spreadsheets/d/1XL5vhW3sbDhbH9Cz0tuDiY8C3ctxq1tqvaCgkFb8cCA/edit?usp=sharing"",""มุกดาหาร!J40"")"),1)</f>
        <v>1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IFERROR(__xludf.DUMMYFUNCTION("IMPORTRANGE(""https://docs.google.com/spreadsheets/d/1XL5vhW3sbDhbH9Cz0tuDiY8C3ctxq1tqvaCgkFb8cCA/edit?usp=sharing"",""มุกดาหาร!J41"")"),1)</f>
        <v>1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IFERROR(__xludf.DUMMYFUNCTION("IMPORTRANGE(""https://docs.google.com/spreadsheets/d/1XL5vhW3sbDhbH9Cz0tuDiY8C3ctxq1tqvaCgkFb8cCA/edit?usp=sharing"",""มุกดาหาร!J42"")"),1)</f>
        <v>1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IFERROR(__xludf.DUMMYFUNCTION("IMPORTRANGE(""https://docs.google.com/spreadsheets/d/1XL5vhW3sbDhbH9Cz0tuDiY8C3ctxq1tqvaCgkFb8cCA/edit?usp=sharing"",""มุกดาหาร!I43"")"),1)</f>
        <v>1</v>
      </c>
      <c r="J108" s="204">
        <f ca="1">IFERROR(__xludf.DUMMYFUNCTION("IMPORTRANGE(""https://docs.google.com/spreadsheets/d/1XL5vhW3sbDhbH9Cz0tuDiY8C3ctxq1tqvaCgkFb8cCA/edit?usp=sharing"",""มุกดาหาร!J43"")"),1)</f>
        <v>1</v>
      </c>
      <c r="K108" s="224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IFERROR(__xludf.DUMMYFUNCTION("IMPORTRANGE(""https://docs.google.com/spreadsheets/d/1XL5vhW3sbDhbH9Cz0tuDiY8C3ctxq1tqvaCgkFb8cCA/edit?usp=sharing"",""มุกดาหาร!I44"")"),4)</f>
        <v>4</v>
      </c>
      <c r="J109" s="204">
        <f ca="1">IFERROR(__xludf.DUMMYFUNCTION("IMPORTRANGE(""https://docs.google.com/spreadsheets/d/1XL5vhW3sbDhbH9Cz0tuDiY8C3ctxq1tqvaCgkFb8cCA/edit?usp=sharing"",""มุกดาหาร!J44"")"),4)</f>
        <v>4</v>
      </c>
      <c r="K109" s="224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IFERROR(__xludf.DUMMYFUNCTION("IMPORTRANGE(""https://docs.google.com/spreadsheets/d/1XL5vhW3sbDhbH9Cz0tuDiY8C3ctxq1tqvaCgkFb8cCA/edit?usp=sharing"",""มุกดาหาร!I45"")"),4)</f>
        <v>4</v>
      </c>
      <c r="J110" s="204">
        <f ca="1">IFERROR(__xludf.DUMMYFUNCTION("IMPORTRANGE(""https://docs.google.com/spreadsheets/d/1XL5vhW3sbDhbH9Cz0tuDiY8C3ctxq1tqvaCgkFb8cCA/edit?usp=sharing"",""มุกดาหาร!J45"")"),4)</f>
        <v>4</v>
      </c>
      <c r="K110" s="224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IFERROR(__xludf.DUMMYFUNCTION("IMPORTRANGE(""https://docs.google.com/spreadsheets/d/1XL5vhW3sbDhbH9Cz0tuDiY8C3ctxq1tqvaCgkFb8cCA/edit?usp=sharing"",""มุกดาหาร!I46"")"),4)</f>
        <v>4</v>
      </c>
      <c r="J111" s="204">
        <f ca="1">IFERROR(__xludf.DUMMYFUNCTION("IMPORTRANGE(""https://docs.google.com/spreadsheets/d/1XL5vhW3sbDhbH9Cz0tuDiY8C3ctxq1tqvaCgkFb8cCA/edit?usp=sharing"",""มุกดาหาร!J46"")"),4)</f>
        <v>4</v>
      </c>
      <c r="K111" s="224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IFERROR(__xludf.DUMMYFUNCTION("IMPORTRANGE(""https://docs.google.com/spreadsheets/d/1XL5vhW3sbDhbH9Cz0tuDiY8C3ctxq1tqvaCgkFb8cCA/edit?usp=sharing"",""มุกดาหาร!I47"")"),4)</f>
        <v>4</v>
      </c>
      <c r="J112" s="204">
        <f ca="1">IFERROR(__xludf.DUMMYFUNCTION("IMPORTRANGE(""https://docs.google.com/spreadsheets/d/1XL5vhW3sbDhbH9Cz0tuDiY8C3ctxq1tqvaCgkFb8cCA/edit?usp=sharing"",""มุกดาหาร!J47"")"),4)</f>
        <v>4</v>
      </c>
      <c r="K112" s="224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IFERROR(__xludf.DUMMYFUNCTION("IMPORTRANGE(""https://docs.google.com/spreadsheets/d/1XL5vhW3sbDhbH9Cz0tuDiY8C3ctxq1tqvaCgkFb8cCA/edit?usp=sharing"",""มุกดาหาร!I48"")"),1)</f>
        <v>1</v>
      </c>
      <c r="J113" s="204">
        <f ca="1">IFERROR(__xludf.DUMMYFUNCTION("IMPORTRANGE(""https://docs.google.com/spreadsheets/d/1XL5vhW3sbDhbH9Cz0tuDiY8C3ctxq1tqvaCgkFb8cCA/edit?usp=sharing"",""มุกดาหาร!J48"")"),1)</f>
        <v>1</v>
      </c>
      <c r="K113" s="224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IFERROR(__xludf.DUMMYFUNCTION("IMPORTRANGE(""https://docs.google.com/spreadsheets/d/1XL5vhW3sbDhbH9Cz0tuDiY8C3ctxq1tqvaCgkFb8cCA/edit?usp=sharing"",""มุกดาหาร!J49"")"),0)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IFERROR(__xludf.DUMMYFUNCTION("IMPORTRANGE(""https://docs.google.com/spreadsheets/d/1XL5vhW3sbDhbH9Cz0tuDiY8C3ctxq1tqvaCgkFb8cCA/edit?usp=sharing"",""มุกดาหาร!J50"")"),0)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IFERROR(__xludf.DUMMYFUNCTION("IMPORTRANGE(""https://docs.google.com/spreadsheets/d/1XL5vhW3sbDhbH9Cz0tuDiY8C3ctxq1tqvaCgkFb8cCA/edit?usp=sharing"",""มุกดาหาร!I52"")"),0)</f>
        <v>0</v>
      </c>
      <c r="J117" s="142">
        <f ca="1">IFERROR(__xludf.DUMMYFUNCTION("IMPORTRANGE(""https://docs.google.com/spreadsheets/d/1XL5vhW3sbDhbH9Cz0tuDiY8C3ctxq1tqvaCgkFb8cCA/edit?usp=sharing"",""มุกดาหาร!J52"")"),0)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54" t="s">
        <v>17</v>
      </c>
      <c r="E118" s="555"/>
      <c r="F118" s="555"/>
      <c r="G118" s="55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52" t="s">
        <v>20</v>
      </c>
      <c r="E121" s="553"/>
      <c r="F121" s="55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537">
        <f ca="1">IFERROR(__xludf.DUMMYFUNCTION("IMPORTRANGE(""https://docs.google.com/spreadsheets/d/1Yj_ptqi66GCucihVvJfMjLAmec39IyEx_6qawtMGysU/edit?usp=sharing"",""สบก!BA46"")"),0)</f>
        <v>0</v>
      </c>
      <c r="N122" s="538">
        <f ca="1">IFERROR(__xludf.DUMMYFUNCTION("IMPORTRANGE(""https://docs.google.com/spreadsheets/d/1Yj_ptqi66GCucihVvJfMjLAmec39IyEx_6qawtMGysU/edit?usp=sharing"",""สบก!BB46"")"),0)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537">
        <f ca="1">IFERROR(__xludf.DUMMYFUNCTION("IMPORTRANGE(""https://docs.google.com/spreadsheets/d/1Yj_ptqi66GCucihVvJfMjLAmec39IyEx_6qawtMGysU/edit?usp=sharing"",""สบก!AW46"")"),0)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537">
        <f ca="1">IFERROR(__xludf.DUMMYFUNCTION("IMPORTRANGE(""https://docs.google.com/spreadsheets/d/1Yj_ptqi66GCucihVvJfMjLAmec39IyEx_6qawtMGysU/edit?usp=sharing"",""สบก!AX46"")"),0)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52" t="s">
        <v>23</v>
      </c>
      <c r="E125" s="553"/>
      <c r="F125" s="89"/>
      <c r="G125" s="82" t="s">
        <v>18</v>
      </c>
      <c r="H125" s="172" t="s">
        <v>12</v>
      </c>
      <c r="I125" s="188"/>
      <c r="J125" s="188"/>
      <c r="K125" s="224"/>
      <c r="L125" s="535">
        <v>0</v>
      </c>
      <c r="M125" s="535"/>
      <c r="N125" s="41"/>
      <c r="O125" s="535"/>
      <c r="P125" s="535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533">
        <f ca="1">IFERROR(__xludf.DUMMYFUNCTION("IMPORTRANGE(""https://docs.google.com/spreadsheets/d/1Yj_ptqi66GCucihVvJfMjLAmec39IyEx_6qawtMGysU/edit?usp=sharing"",""สบก!AY46"")"),0)</f>
        <v>0</v>
      </c>
      <c r="M126" s="536"/>
      <c r="N126" s="533">
        <f ca="1">IFERROR(__xludf.DUMMYFUNCTION("IMPORTRANGE(""https://docs.google.com/spreadsheets/d/1Yj_ptqi66GCucihVvJfMjLAmec39IyEx_6qawtMGysU/edit?usp=sharing"",""สบก!BC46"")"),0)</f>
        <v>0</v>
      </c>
      <c r="O126" s="536">
        <f ca="1">IF(L126&gt;0,N126*100/L126,0)</f>
        <v>0</v>
      </c>
      <c r="P126" s="536"/>
    </row>
    <row r="127" spans="1:16" ht="21.75" customHeight="1" x14ac:dyDescent="0.35">
      <c r="A127" s="176"/>
      <c r="B127" s="177"/>
      <c r="C127" s="159" t="s">
        <v>16</v>
      </c>
      <c r="D127" s="233" t="s">
        <v>255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IFERROR(__xludf.DUMMYFUNCTION("IMPORTRANGE(""https://docs.google.com/spreadsheets/d/1XL5vhW3sbDhbH9Cz0tuDiY8C3ctxq1tqvaCgkFb8cCA/edit?usp=sharing"",""มุกดาหาร!J58"")"),0)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IFERROR(__xludf.DUMMYFUNCTION("IMPORTRANGE(""https://docs.google.com/spreadsheets/d/1XL5vhW3sbDhbH9Cz0tuDiY8C3ctxq1tqvaCgkFb8cCA/edit?usp=sharing"",""มุกดาหาร!J59"")"),0)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IFERROR(__xludf.DUMMYFUNCTION("IMPORTRANGE(""https://docs.google.com/spreadsheets/d/1XL5vhW3sbDhbH9Cz0tuDiY8C3ctxq1tqvaCgkFb8cCA/edit?usp=sharing"",""มุกดาหาร!J60"")"),0)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IFERROR(__xludf.DUMMYFUNCTION("IMPORTRANGE(""https://docs.google.com/spreadsheets/d/1XL5vhW3sbDhbH9Cz0tuDiY8C3ctxq1tqvaCgkFb8cCA/edit?usp=sharing"",""มุกดาหาร!J61"")"),0)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IFERROR(__xludf.DUMMYFUNCTION("IMPORTRANGE(""https://docs.google.com/spreadsheets/d/1XL5vhW3sbDhbH9Cz0tuDiY8C3ctxq1tqvaCgkFb8cCA/edit?usp=sharing"",""มุกดาหาร!I62"")"),0)</f>
        <v>0</v>
      </c>
      <c r="J132" s="204">
        <f ca="1">IFERROR(__xludf.DUMMYFUNCTION("IMPORTRANGE(""https://docs.google.com/spreadsheets/d/1XL5vhW3sbDhbH9Cz0tuDiY8C3ctxq1tqvaCgkFb8cCA/edit?usp=sharing"",""มุกดาหาร!J62"")"),0)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IFERROR(__xludf.DUMMYFUNCTION("IMPORTRANGE(""https://docs.google.com/spreadsheets/d/1XL5vhW3sbDhbH9Cz0tuDiY8C3ctxq1tqvaCgkFb8cCA/edit?usp=sharing"",""มุกดาหาร!I63"")"),0)</f>
        <v>0</v>
      </c>
      <c r="J133" s="204">
        <f ca="1">IFERROR(__xludf.DUMMYFUNCTION("IMPORTRANGE(""https://docs.google.com/spreadsheets/d/1XL5vhW3sbDhbH9Cz0tuDiY8C3ctxq1tqvaCgkFb8cCA/edit?usp=sharing"",""มุกดาหาร!J63"")"),0)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IFERROR(__xludf.DUMMYFUNCTION("IMPORTRANGE(""https://docs.google.com/spreadsheets/d/1XL5vhW3sbDhbH9Cz0tuDiY8C3ctxq1tqvaCgkFb8cCA/edit?usp=sharing"",""มุกดาหาร!J64"")"),0)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IFERROR(__xludf.DUMMYFUNCTION("IMPORTRANGE(""https://docs.google.com/spreadsheets/d/1XL5vhW3sbDhbH9Cz0tuDiY8C3ctxq1tqvaCgkFb8cCA/edit?usp=sharing"",""มุกดาหาร!J65"")"),0)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IFERROR(__xludf.DUMMYFUNCTION("IMPORTRANGE(""https://docs.google.com/spreadsheets/d/1XL5vhW3sbDhbH9Cz0tuDiY8C3ctxq1tqvaCgkFb8cCA/edit?usp=sharing"",""มุกดาหาร!I68"")"),15)</f>
        <v>15</v>
      </c>
      <c r="J138" s="267">
        <f ca="1">IFERROR(__xludf.DUMMYFUNCTION("IMPORTRANGE(""https://docs.google.com/spreadsheets/d/1XL5vhW3sbDhbH9Cz0tuDiY8C3ctxq1tqvaCgkFb8cCA/edit?usp=sharing"",""มุกดาหาร!J68"")"),15)</f>
        <v>15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54" t="s">
        <v>17</v>
      </c>
      <c r="E140" s="555"/>
      <c r="F140" s="555"/>
      <c r="G140" s="555"/>
      <c r="H140" s="149" t="s">
        <v>12</v>
      </c>
      <c r="I140" s="162"/>
      <c r="J140" s="162"/>
      <c r="K140" s="163"/>
      <c r="L140" s="152">
        <f t="shared" ref="L140:N140" ca="1" si="64">L141+L142</f>
        <v>227500</v>
      </c>
      <c r="M140" s="152">
        <f t="shared" ca="1" si="64"/>
        <v>184625</v>
      </c>
      <c r="N140" s="152">
        <f t="shared" ca="1" si="64"/>
        <v>112260</v>
      </c>
      <c r="O140" s="151">
        <f t="shared" ref="O140:O142" ca="1" si="65">IF(L140&gt;0,N140*100/L140,0)</f>
        <v>49.345054945054947</v>
      </c>
      <c r="P140" s="151">
        <f t="shared" ref="P140:P142" ca="1" si="66">IF(M140&gt;0,N140*100/M140,0)</f>
        <v>60.804333107650642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227500</v>
      </c>
      <c r="M142" s="157">
        <f t="shared" ca="1" si="68"/>
        <v>184625</v>
      </c>
      <c r="N142" s="157">
        <f t="shared" ca="1" si="68"/>
        <v>112260</v>
      </c>
      <c r="O142" s="156">
        <f t="shared" ca="1" si="65"/>
        <v>49.345054945054947</v>
      </c>
      <c r="P142" s="156">
        <f t="shared" ca="1" si="66"/>
        <v>60.804333107650642</v>
      </c>
    </row>
    <row r="143" spans="1:16" ht="21.75" customHeight="1" x14ac:dyDescent="0.45">
      <c r="A143" s="158"/>
      <c r="B143" s="159"/>
      <c r="C143" s="159" t="s">
        <v>16</v>
      </c>
      <c r="D143" s="552" t="s">
        <v>20</v>
      </c>
      <c r="E143" s="553"/>
      <c r="F143" s="55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227500</v>
      </c>
      <c r="M144" s="537">
        <f ca="1">IFERROR(__xludf.DUMMYFUNCTION("IMPORTRANGE(""https://docs.google.com/spreadsheets/d/1Yj_ptqi66GCucihVvJfMjLAmec39IyEx_6qawtMGysU/edit?usp=sharing"",""สบก!BJ46"")"),184625)</f>
        <v>184625</v>
      </c>
      <c r="N144" s="538">
        <f ca="1">IFERROR(__xludf.DUMMYFUNCTION("IMPORTRANGE(""https://docs.google.com/spreadsheets/d/1Yj_ptqi66GCucihVvJfMjLAmec39IyEx_6qawtMGysU/edit?usp=sharing"",""สบก!BK46"")"),112260)</f>
        <v>112260</v>
      </c>
      <c r="O144" s="169">
        <f ca="1">IF(L144&gt;0,N144*100/L144,0)</f>
        <v>49.345054945054947</v>
      </c>
      <c r="P144" s="169">
        <f ca="1">IF(M144&gt;0,N144*100/M144,0)</f>
        <v>60.804333107650642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537">
        <f ca="1">IFERROR(__xludf.DUMMYFUNCTION("IMPORTRANGE(""https://docs.google.com/spreadsheets/d/1Yj_ptqi66GCucihVvJfMjLAmec39IyEx_6qawtMGysU/edit?usp=sharing"",""สบก!BF46"")"),132000)</f>
        <v>132000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537">
        <f ca="1">IFERROR(__xludf.DUMMYFUNCTION("IMPORTRANGE(""https://docs.google.com/spreadsheets/d/1Yj_ptqi66GCucihVvJfMjLAmec39IyEx_6qawtMGysU/edit?usp=sharing"",""สบก!BG46"")"),95500)</f>
        <v>95500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52" t="s">
        <v>23</v>
      </c>
      <c r="E147" s="553"/>
      <c r="F147" s="89"/>
      <c r="G147" s="82" t="s">
        <v>18</v>
      </c>
      <c r="H147" s="172" t="s">
        <v>12</v>
      </c>
      <c r="I147" s="188"/>
      <c r="J147" s="188"/>
      <c r="K147" s="224"/>
      <c r="L147" s="535">
        <v>0</v>
      </c>
      <c r="M147" s="535"/>
      <c r="N147" s="41"/>
      <c r="O147" s="535"/>
      <c r="P147" s="535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533">
        <f ca="1">IFERROR(__xludf.DUMMYFUNCTION("IMPORTRANGE(""https://docs.google.com/spreadsheets/d/1Yj_ptqi66GCucihVvJfMjLAmec39IyEx_6qawtMGysU/edit?usp=sharing"",""สบก!BH46"")"),0)</f>
        <v>0</v>
      </c>
      <c r="M148" s="536"/>
      <c r="N148" s="533">
        <f ca="1">IFERROR(__xludf.DUMMYFUNCTION("IMPORTRANGE(""https://docs.google.com/spreadsheets/d/1Yj_ptqi66GCucihVvJfMjLAmec39IyEx_6qawtMGysU/edit?usp=sharing"",""สบก!BL46"")"),0)</f>
        <v>0</v>
      </c>
      <c r="O148" s="536">
        <f ca="1">IF(L148&gt;0,N148*100/L148,0)</f>
        <v>0</v>
      </c>
      <c r="P148" s="536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IFERROR(__xludf.DUMMYFUNCTION("IMPORTRANGE(""https://docs.google.com/spreadsheets/d/1XL5vhW3sbDhbH9Cz0tuDiY8C3ctxq1tqvaCgkFb8cCA/edit?usp=sharing"",""มุกดาหาร!I74"")"),4)</f>
        <v>4</v>
      </c>
      <c r="J149" s="275">
        <f ca="1">IFERROR(__xludf.DUMMYFUNCTION("IMPORTRANGE(""https://docs.google.com/spreadsheets/d/1XL5vhW3sbDhbH9Cz0tuDiY8C3ctxq1tqvaCgkFb8cCA/edit?usp=sharing"",""มุกดาหาร!J74"")"),1)</f>
        <v>1</v>
      </c>
      <c r="K149" s="276">
        <f ca="1">IF(I149&gt;0,J149*100/I149,0)</f>
        <v>25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IFERROR(__xludf.DUMMYFUNCTION("IMPORTRANGE(""https://docs.google.com/spreadsheets/d/1XL5vhW3sbDhbH9Cz0tuDiY8C3ctxq1tqvaCgkFb8cCA/edit?usp=sharing"",""มุกดาหาร!J79"")"),0)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IFERROR(__xludf.DUMMYFUNCTION("IMPORTRANGE(""https://docs.google.com/spreadsheets/d/1XL5vhW3sbDhbH9Cz0tuDiY8C3ctxq1tqvaCgkFb8cCA/edit?usp=sharing"",""มุกดาหาร!J80"")"),1)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IFERROR(__xludf.DUMMYFUNCTION("IMPORTRANGE(""https://docs.google.com/spreadsheets/d/1XL5vhW3sbDhbH9Cz0tuDiY8C3ctxq1tqvaCgkFb8cCA/edit?usp=sharing"",""มุกดาหาร!J81"")"),1)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IFERROR(__xludf.DUMMYFUNCTION("IMPORTRANGE(""https://docs.google.com/spreadsheets/d/1XL5vhW3sbDhbH9Cz0tuDiY8C3ctxq1tqvaCgkFb8cCA/edit?usp=sharing"",""มุกดาหาร!J82"")"),0)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IFERROR(__xludf.DUMMYFUNCTION("IMPORTRANGE(""https://docs.google.com/spreadsheets/d/1XL5vhW3sbDhbH9Cz0tuDiY8C3ctxq1tqvaCgkFb8cCA/edit?usp=sharing"",""มุกดาหาร!I83"")"),4)</f>
        <v>4</v>
      </c>
      <c r="J158" s="189">
        <f ca="1">IFERROR(__xludf.DUMMYFUNCTION("IMPORTRANGE(""https://docs.google.com/spreadsheets/d/1XL5vhW3sbDhbH9Cz0tuDiY8C3ctxq1tqvaCgkFb8cCA/edit?usp=sharing"",""มุกดาหาร!J83"")"),1)</f>
        <v>1</v>
      </c>
      <c r="K158" s="163">
        <f ca="1">IF(I158&gt;0,J158*100/I158,0)</f>
        <v>25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IFERROR(__xludf.DUMMYFUNCTION("IMPORTRANGE(""https://docs.google.com/spreadsheets/d/1XL5vhW3sbDhbH9Cz0tuDiY8C3ctxq1tqvaCgkFb8cCA/edit?usp=sharing"",""มุกดาหาร!J84"")"),11)</f>
        <v>11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IFERROR(__xludf.DUMMYFUNCTION("IMPORTRANGE(""https://docs.google.com/spreadsheets/d/1XL5vhW3sbDhbH9Cz0tuDiY8C3ctxq1tqvaCgkFb8cCA/edit?usp=sharing"",""มุกดาหาร!J85"")"),11)</f>
        <v>11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IFERROR(__xludf.DUMMYFUNCTION("IMPORTRANGE(""https://docs.google.com/spreadsheets/d/1XL5vhW3sbDhbH9Cz0tuDiY8C3ctxq1tqvaCgkFb8cCA/edit?usp=sharing"",""มุกดาหาร!J86"")"),0)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IFERROR(__xludf.DUMMYFUNCTION("IMPORTRANGE(""https://docs.google.com/spreadsheets/d/1XL5vhW3sbDhbH9Cz0tuDiY8C3ctxq1tqvaCgkFb8cCA/edit?usp=sharing"",""มุกดาหาร!J87"")"),0)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IFERROR(__xludf.DUMMYFUNCTION("IMPORTRANGE(""https://docs.google.com/spreadsheets/d/1XL5vhW3sbDhbH9Cz0tuDiY8C3ctxq1tqvaCgkFb8cCA/edit?usp=sharing"",""มุกดาหาร!J88"")"),0)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IFERROR(__xludf.DUMMYFUNCTION("IMPORTRANGE(""https://docs.google.com/spreadsheets/d/1XL5vhW3sbDhbH9Cz0tuDiY8C3ctxq1tqvaCgkFb8cCA/edit?usp=sharing"",""มุกดาหาร!I89"")"),3)</f>
        <v>3</v>
      </c>
      <c r="J164" s="284">
        <f ca="1">IFERROR(__xludf.DUMMYFUNCTION("IMPORTRANGE(""https://docs.google.com/spreadsheets/d/1XL5vhW3sbDhbH9Cz0tuDiY8C3ctxq1tqvaCgkFb8cCA/edit?usp=sharing"",""มุกดาหาร!J89"")"),3)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IFERROR(__xludf.DUMMYFUNCTION("IMPORTRANGE(""https://docs.google.com/spreadsheets/d/1XL5vhW3sbDhbH9Cz0tuDiY8C3ctxq1tqvaCgkFb8cCA/edit?usp=sharing"",""มุกดาหาร!J94"")"),0)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IFERROR(__xludf.DUMMYFUNCTION("IMPORTRANGE(""https://docs.google.com/spreadsheets/d/1XL5vhW3sbDhbH9Cz0tuDiY8C3ctxq1tqvaCgkFb8cCA/edit?usp=sharing"",""มุกดาหาร!J95"")"),1)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IFERROR(__xludf.DUMMYFUNCTION("IMPORTRANGE(""https://docs.google.com/spreadsheets/d/1XL5vhW3sbDhbH9Cz0tuDiY8C3ctxq1tqvaCgkFb8cCA/edit?usp=sharing"",""มุกดาหาร!J96"")"),1)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IFERROR(__xludf.DUMMYFUNCTION("IMPORTRANGE(""https://docs.google.com/spreadsheets/d/1XL5vhW3sbDhbH9Cz0tuDiY8C3ctxq1tqvaCgkFb8cCA/edit?usp=sharing"",""มุกดาหาร!J97"")"),0)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IFERROR(__xludf.DUMMYFUNCTION("IMPORTRANGE(""https://docs.google.com/spreadsheets/d/1XL5vhW3sbDhbH9Cz0tuDiY8C3ctxq1tqvaCgkFb8cCA/edit?usp=sharing"",""มุกดาหาร!I98"")"),3)</f>
        <v>3</v>
      </c>
      <c r="J173" s="189">
        <f ca="1">IFERROR(__xludf.DUMMYFUNCTION("IMPORTRANGE(""https://docs.google.com/spreadsheets/d/1XL5vhW3sbDhbH9Cz0tuDiY8C3ctxq1tqvaCgkFb8cCA/edit?usp=sharing"",""มุกดาหาร!J98"")"),3)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IFERROR(__xludf.DUMMYFUNCTION("IMPORTRANGE(""https://docs.google.com/spreadsheets/d/1XL5vhW3sbDhbH9Cz0tuDiY8C3ctxq1tqvaCgkFb8cCA/edit?usp=sharing"",""มุกดาหาร!J99"")"),0)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IFERROR(__xludf.DUMMYFUNCTION("IMPORTRANGE(""https://docs.google.com/spreadsheets/d/1XL5vhW3sbDhbH9Cz0tuDiY8C3ctxq1tqvaCgkFb8cCA/edit?usp=sharing"",""มุกดาหาร!J100"")"),0)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IFERROR(__xludf.DUMMYFUNCTION("IMPORTRANGE(""https://docs.google.com/spreadsheets/d/1XL5vhW3sbDhbH9Cz0tuDiY8C3ctxq1tqvaCgkFb8cCA/edit?usp=sharing"",""มุกดาหาร!I101"")"),1)</f>
        <v>1</v>
      </c>
      <c r="J176" s="284">
        <f ca="1">IFERROR(__xludf.DUMMYFUNCTION("IMPORTRANGE(""https://docs.google.com/spreadsheets/d/1XL5vhW3sbDhbH9Cz0tuDiY8C3ctxq1tqvaCgkFb8cCA/edit?usp=sharing"",""มุกดาหาร!J101"")"),1)</f>
        <v>1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IFERROR(__xludf.DUMMYFUNCTION("IMPORTRANGE(""https://docs.google.com/spreadsheets/d/1XL5vhW3sbDhbH9Cz0tuDiY8C3ctxq1tqvaCgkFb8cCA/edit?usp=sharing"",""มุกดาหาร!J106"")"),0)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IFERROR(__xludf.DUMMYFUNCTION("IMPORTRANGE(""https://docs.google.com/spreadsheets/d/1XL5vhW3sbDhbH9Cz0tuDiY8C3ctxq1tqvaCgkFb8cCA/edit?usp=sharing"",""มุกดาหาร!J107"")"),1)</f>
        <v>1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IFERROR(__xludf.DUMMYFUNCTION("IMPORTRANGE(""https://docs.google.com/spreadsheets/d/1XL5vhW3sbDhbH9Cz0tuDiY8C3ctxq1tqvaCgkFb8cCA/edit?usp=sharing"",""มุกดาหาร!J108"")"),1)</f>
        <v>1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IFERROR(__xludf.DUMMYFUNCTION("IMPORTRANGE(""https://docs.google.com/spreadsheets/d/1XL5vhW3sbDhbH9Cz0tuDiY8C3ctxq1tqvaCgkFb8cCA/edit?usp=sharing"",""มุกดาหาร!J109"")"),0)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IFERROR(__xludf.DUMMYFUNCTION("IMPORTRANGE(""https://docs.google.com/spreadsheets/d/1XL5vhW3sbDhbH9Cz0tuDiY8C3ctxq1tqvaCgkFb8cCA/edit?usp=sharing"",""มุกดาหาร!I110"")"),1)</f>
        <v>1</v>
      </c>
      <c r="J185" s="204">
        <f ca="1">IFERROR(__xludf.DUMMYFUNCTION("IMPORTRANGE(""https://docs.google.com/spreadsheets/d/1XL5vhW3sbDhbH9Cz0tuDiY8C3ctxq1tqvaCgkFb8cCA/edit?usp=sharing"",""มุกดาหาร!J110"")"),0)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IFERROR(__xludf.DUMMYFUNCTION("IMPORTRANGE(""https://docs.google.com/spreadsheets/d/1XL5vhW3sbDhbH9Cz0tuDiY8C3ctxq1tqvaCgkFb8cCA/edit?usp=sharing"",""มุกดาหาร!I111"")"),1)</f>
        <v>1</v>
      </c>
      <c r="J186" s="204">
        <f ca="1">IFERROR(__xludf.DUMMYFUNCTION("IMPORTRANGE(""https://docs.google.com/spreadsheets/d/1XL5vhW3sbDhbH9Cz0tuDiY8C3ctxq1tqvaCgkFb8cCA/edit?usp=sharing"",""มุกดาหาร!J111"")"),1)</f>
        <v>1</v>
      </c>
      <c r="K186" s="224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IFERROR(__xludf.DUMMYFUNCTION("IMPORTRANGE(""https://docs.google.com/spreadsheets/d/1XL5vhW3sbDhbH9Cz0tuDiY8C3ctxq1tqvaCgkFb8cCA/edit?usp=sharing"",""มุกดาหาร!J112"")"),0)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IFERROR(__xludf.DUMMYFUNCTION("IMPORTRANGE(""https://docs.google.com/spreadsheets/d/1XL5vhW3sbDhbH9Cz0tuDiY8C3ctxq1tqvaCgkFb8cCA/edit?usp=sharing"",""มุกดาหาร!J113"")"),0)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IFERROR(__xludf.DUMMYFUNCTION("IMPORTRANGE(""https://docs.google.com/spreadsheets/d/1XL5vhW3sbDhbH9Cz0tuDiY8C3ctxq1tqvaCgkFb8cCA/edit?usp=sharing"",""มุกดาหาร!I114"")"),40000)</f>
        <v>40000</v>
      </c>
      <c r="J189" s="284">
        <f ca="1">IFERROR(__xludf.DUMMYFUNCTION("IMPORTRANGE(""https://docs.google.com/spreadsheets/d/1XL5vhW3sbDhbH9Cz0tuDiY8C3ctxq1tqvaCgkFb8cCA/edit?usp=sharing"",""มุกดาหาร!J114"")"),0)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IFERROR(__xludf.DUMMYFUNCTION("IMPORTRANGE(""https://docs.google.com/spreadsheets/d/1XL5vhW3sbDhbH9Cz0tuDiY8C3ctxq1tqvaCgkFb8cCA/edit?usp=sharing"",""มุกดาหาร!J119"")"),0)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IFERROR(__xludf.DUMMYFUNCTION("IMPORTRANGE(""https://docs.google.com/spreadsheets/d/1XL5vhW3sbDhbH9Cz0tuDiY8C3ctxq1tqvaCgkFb8cCA/edit?usp=sharing"",""มุกดาหาร!J120"")"),1)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IFERROR(__xludf.DUMMYFUNCTION("IMPORTRANGE(""https://docs.google.com/spreadsheets/d/1XL5vhW3sbDhbH9Cz0tuDiY8C3ctxq1tqvaCgkFb8cCA/edit?usp=sharing"",""มุกดาหาร!J121"")"),1)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IFERROR(__xludf.DUMMYFUNCTION("IMPORTRANGE(""https://docs.google.com/spreadsheets/d/1XL5vhW3sbDhbH9Cz0tuDiY8C3ctxq1tqvaCgkFb8cCA/edit?usp=sharing"",""มุกดาหาร!J122"")"),0)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IFERROR(__xludf.DUMMYFUNCTION("IMPORTRANGE(""https://docs.google.com/spreadsheets/d/1XL5vhW3sbDhbH9Cz0tuDiY8C3ctxq1tqvaCgkFb8cCA/edit?usp=sharing"",""มุกดาหาร!I124"")"),40000)</f>
        <v>40000</v>
      </c>
      <c r="J199" s="189">
        <f ca="1">IFERROR(__xludf.DUMMYFUNCTION("IMPORTRANGE(""https://docs.google.com/spreadsheets/d/1XL5vhW3sbDhbH9Cz0tuDiY8C3ctxq1tqvaCgkFb8cCA/edit?usp=sharing"",""มุกดาหาร!J124"")"),0)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IFERROR(__xludf.DUMMYFUNCTION("IMPORTRANGE(""https://docs.google.com/spreadsheets/d/1XL5vhW3sbDhbH9Cz0tuDiY8C3ctxq1tqvaCgkFb8cCA/edit?usp=sharing"",""มุกดาหาร!I125"")"),40000)</f>
        <v>40000</v>
      </c>
      <c r="J200" s="189">
        <f ca="1">IFERROR(__xludf.DUMMYFUNCTION("IMPORTRANGE(""https://docs.google.com/spreadsheets/d/1XL5vhW3sbDhbH9Cz0tuDiY8C3ctxq1tqvaCgkFb8cCA/edit?usp=sharing"",""มุกดาหาร!J125"")"),0)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IFERROR(__xludf.DUMMYFUNCTION("IMPORTRANGE(""https://docs.google.com/spreadsheets/d/1XL5vhW3sbDhbH9Cz0tuDiY8C3ctxq1tqvaCgkFb8cCA/edit?usp=sharing"",""มุกดาหาร!I126"")"),15)</f>
        <v>15</v>
      </c>
      <c r="J201" s="189">
        <f ca="1">IFERROR(__xludf.DUMMYFUNCTION("IMPORTRANGE(""https://docs.google.com/spreadsheets/d/1XL5vhW3sbDhbH9Cz0tuDiY8C3ctxq1tqvaCgkFb8cCA/edit?usp=sharing"",""มุกดาหาร!J126"")"),15)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IFERROR(__xludf.DUMMYFUNCTION("IMPORTRANGE(""https://docs.google.com/spreadsheets/d/1XL5vhW3sbDhbH9Cz0tuDiY8C3ctxq1tqvaCgkFb8cCA/edit?usp=sharing"",""มุกดาหาร!J127"")"),0)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IFERROR(__xludf.DUMMYFUNCTION("IMPORTRANGE(""https://docs.google.com/spreadsheets/d/1XL5vhW3sbDhbH9Cz0tuDiY8C3ctxq1tqvaCgkFb8cCA/edit?usp=sharing"",""มุกดาหาร!J128"")"),0)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IFERROR(__xludf.DUMMYFUNCTION("IMPORTRANGE(""https://docs.google.com/spreadsheets/d/1XL5vhW3sbDhbH9Cz0tuDiY8C3ctxq1tqvaCgkFb8cCA/edit?usp=sharing"",""มุกดาหาร!I129"")"),0)</f>
        <v>0</v>
      </c>
      <c r="J204" s="284">
        <f ca="1">IFERROR(__xludf.DUMMYFUNCTION("IMPORTRANGE(""https://docs.google.com/spreadsheets/d/1XL5vhW3sbDhbH9Cz0tuDiY8C3ctxq1tqvaCgkFb8cCA/edit?usp=sharing"",""มุกดาหาร!J129"")"),0)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IFERROR(__xludf.DUMMYFUNCTION("IMPORTRANGE(""https://docs.google.com/spreadsheets/d/1XL5vhW3sbDhbH9Cz0tuDiY8C3ctxq1tqvaCgkFb8cCA/edit?usp=sharing"",""มุกดาหาร!J134"")"),0)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IFERROR(__xludf.DUMMYFUNCTION("IMPORTRANGE(""https://docs.google.com/spreadsheets/d/1XL5vhW3sbDhbH9Cz0tuDiY8C3ctxq1tqvaCgkFb8cCA/edit?usp=sharing"",""มุกดาหาร!J135"")"),0)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IFERROR(__xludf.DUMMYFUNCTION("IMPORTRANGE(""https://docs.google.com/spreadsheets/d/1XL5vhW3sbDhbH9Cz0tuDiY8C3ctxq1tqvaCgkFb8cCA/edit?usp=sharing"",""มุกดาหาร!J136"")"),0)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IFERROR(__xludf.DUMMYFUNCTION("IMPORTRANGE(""https://docs.google.com/spreadsheets/d/1XL5vhW3sbDhbH9Cz0tuDiY8C3ctxq1tqvaCgkFb8cCA/edit?usp=sharing"",""มุกดาหาร!J137"")"),0)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IFERROR(__xludf.DUMMYFUNCTION("IMPORTRANGE(""https://docs.google.com/spreadsheets/d/1XL5vhW3sbDhbH9Cz0tuDiY8C3ctxq1tqvaCgkFb8cCA/edit?usp=sharing"",""มุกดาหาร!I138"")"),0)</f>
        <v>0</v>
      </c>
      <c r="J213" s="204">
        <f ca="1">IFERROR(__xludf.DUMMYFUNCTION("IMPORTRANGE(""https://docs.google.com/spreadsheets/d/1XL5vhW3sbDhbH9Cz0tuDiY8C3ctxq1tqvaCgkFb8cCA/edit?usp=sharing"",""มุกดาหาร!J138"")"),0)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IFERROR(__xludf.DUMMYFUNCTION("IMPORTRANGE(""https://docs.google.com/spreadsheets/d/1XL5vhW3sbDhbH9Cz0tuDiY8C3ctxq1tqvaCgkFb8cCA/edit?usp=sharing"",""มุกดาหาร!I140"")"),0)</f>
        <v>0</v>
      </c>
      <c r="J215" s="204">
        <f ca="1">IFERROR(__xludf.DUMMYFUNCTION("IMPORTRANGE(""https://docs.google.com/spreadsheets/d/1XL5vhW3sbDhbH9Cz0tuDiY8C3ctxq1tqvaCgkFb8cCA/edit?usp=sharing"",""มุกดาหาร!J140"")"),0)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IFERROR(__xludf.DUMMYFUNCTION("IMPORTRANGE(""https://docs.google.com/spreadsheets/d/1XL5vhW3sbDhbH9Cz0tuDiY8C3ctxq1tqvaCgkFb8cCA/edit?usp=sharing"",""มุกดาหาร!I141"")"),0)</f>
        <v>0</v>
      </c>
      <c r="J216" s="204">
        <f ca="1">IFERROR(__xludf.DUMMYFUNCTION("IMPORTRANGE(""https://docs.google.com/spreadsheets/d/1XL5vhW3sbDhbH9Cz0tuDiY8C3ctxq1tqvaCgkFb8cCA/edit?usp=sharing"",""มุกดาหาร!J141"")"),0)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IFERROR(__xludf.DUMMYFUNCTION("IMPORTRANGE(""https://docs.google.com/spreadsheets/d/1XL5vhW3sbDhbH9Cz0tuDiY8C3ctxq1tqvaCgkFb8cCA/edit?usp=sharing"",""มุกดาหาร!J142"")"),0)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IFERROR(__xludf.DUMMYFUNCTION("IMPORTRANGE(""https://docs.google.com/spreadsheets/d/1XL5vhW3sbDhbH9Cz0tuDiY8C3ctxq1tqvaCgkFb8cCA/edit?usp=sharing"",""มุกดาหาร!J143"")"),0)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IFERROR(__xludf.DUMMYFUNCTION("IMPORTRANGE(""https://docs.google.com/spreadsheets/d/1XL5vhW3sbDhbH9Cz0tuDiY8C3ctxq1tqvaCgkFb8cCA/edit?usp=sharing"",""มุกดาหาร!I144"")"),13)</f>
        <v>13</v>
      </c>
      <c r="J219" s="267">
        <f ca="1">IFERROR(__xludf.DUMMYFUNCTION("IMPORTRANGE(""https://docs.google.com/spreadsheets/d/1XL5vhW3sbDhbH9Cz0tuDiY8C3ctxq1tqvaCgkFb8cCA/edit?usp=sharing"",""มุกดาหาร!J144"")"),13)</f>
        <v>13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54" t="s">
        <v>17</v>
      </c>
      <c r="E220" s="555"/>
      <c r="F220" s="555"/>
      <c r="G220" s="555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52" t="s">
        <v>20</v>
      </c>
      <c r="E223" s="553"/>
      <c r="F223" s="55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537">
        <f ca="1">IFERROR(__xludf.DUMMYFUNCTION("IMPORTRANGE(""https://docs.google.com/spreadsheets/d/1Yj_ptqi66GCucihVvJfMjLAmec39IyEx_6qawtMGysU/edit?usp=sharing"",""สบก!BS46"")"),19295)</f>
        <v>19295</v>
      </c>
      <c r="N224" s="538">
        <f ca="1">IFERROR(__xludf.DUMMYFUNCTION("IMPORTRANGE(""https://docs.google.com/spreadsheets/d/1Yj_ptqi66GCucihVvJfMjLAmec39IyEx_6qawtMGysU/edit?usp=sharing"",""สบก!BT46"")"),19295)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537">
        <f ca="1">IFERROR(__xludf.DUMMYFUNCTION("IMPORTRANGE(""https://docs.google.com/spreadsheets/d/1Yj_ptqi66GCucihVvJfMjLAmec39IyEx_6qawtMGysU/edit?usp=sharing"",""สบก!BO46"")"),0)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537">
        <f ca="1">IFERROR(__xludf.DUMMYFUNCTION("IMPORTRANGE(""https://docs.google.com/spreadsheets/d/1Yj_ptqi66GCucihVvJfMjLAmec39IyEx_6qawtMGysU/edit?usp=sharing"",""สบก!BP46"")"),19295)</f>
        <v>19295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52" t="s">
        <v>23</v>
      </c>
      <c r="E227" s="553"/>
      <c r="F227" s="89"/>
      <c r="G227" s="82" t="s">
        <v>18</v>
      </c>
      <c r="H227" s="172" t="s">
        <v>12</v>
      </c>
      <c r="I227" s="201"/>
      <c r="J227" s="201"/>
      <c r="K227" s="290"/>
      <c r="L227" s="535">
        <v>0</v>
      </c>
      <c r="M227" s="535"/>
      <c r="N227" s="41"/>
      <c r="O227" s="535"/>
      <c r="P227" s="535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533">
        <f ca="1">IFERROR(__xludf.DUMMYFUNCTION("IMPORTRANGE(""https://docs.google.com/spreadsheets/d/1Yj_ptqi66GCucihVvJfMjLAmec39IyEx_6qawtMGysU/edit?usp=sharing"",""สบก!BQ46"")"),0)</f>
        <v>0</v>
      </c>
      <c r="M228" s="536"/>
      <c r="N228" s="533">
        <f ca="1">IFERROR(__xludf.DUMMYFUNCTION("IMPORTRANGE(""https://docs.google.com/spreadsheets/d/1Yj_ptqi66GCucihVvJfMjLAmec39IyEx_6qawtMGysU/edit?usp=sharing"",""สบก!BU46"")"),0)</f>
        <v>0</v>
      </c>
      <c r="O228" s="536">
        <f ca="1">IF(L228&gt;0,N228*100/L228,0)</f>
        <v>0</v>
      </c>
      <c r="P228" s="536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IFERROR(__xludf.DUMMYFUNCTION("IMPORTRANGE(""https://docs.google.com/spreadsheets/d/1XL5vhW3sbDhbH9Cz0tuDiY8C3ctxq1tqvaCgkFb8cCA/edit?usp=sharing"",""มุกดาหาร!I149"")"),13)</f>
        <v>13</v>
      </c>
      <c r="J229" s="267">
        <f ca="1">IFERROR(__xludf.DUMMYFUNCTION("IMPORTRANGE(""https://docs.google.com/spreadsheets/d/1XL5vhW3sbDhbH9Cz0tuDiY8C3ctxq1tqvaCgkFb8cCA/edit?usp=sharing"",""มุกดาหาร!J149"")"),13)</f>
        <v>13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IFERROR(__xludf.DUMMYFUNCTION("IMPORTRANGE(""https://docs.google.com/spreadsheets/d/1XL5vhW3sbDhbH9Cz0tuDiY8C3ctxq1tqvaCgkFb8cCA/edit?usp=sharing"",""มุกดาหาร!J151"")"),0)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IFERROR(__xludf.DUMMYFUNCTION("IMPORTRANGE(""https://docs.google.com/spreadsheets/d/1XL5vhW3sbDhbH9Cz0tuDiY8C3ctxq1tqvaCgkFb8cCA/edit?usp=sharing"",""มุกดาหาร!J152"")"),1)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IFERROR(__xludf.DUMMYFUNCTION("IMPORTRANGE(""https://docs.google.com/spreadsheets/d/1XL5vhW3sbDhbH9Cz0tuDiY8C3ctxq1tqvaCgkFb8cCA/edit?usp=sharing"",""มุกดาหาร!J153"")"),1)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IFERROR(__xludf.DUMMYFUNCTION("IMPORTRANGE(""https://docs.google.com/spreadsheets/d/1XL5vhW3sbDhbH9Cz0tuDiY8C3ctxq1tqvaCgkFb8cCA/edit?usp=sharing"",""มุกดาหาร!J154"")"),1)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IFERROR(__xludf.DUMMYFUNCTION("IMPORTRANGE(""https://docs.google.com/spreadsheets/d/1XL5vhW3sbDhbH9Cz0tuDiY8C3ctxq1tqvaCgkFb8cCA/edit?usp=sharing"",""มุกดาหาร!I155"")"),13)</f>
        <v>13</v>
      </c>
      <c r="J235" s="189">
        <f ca="1">IFERROR(__xludf.DUMMYFUNCTION("IMPORTRANGE(""https://docs.google.com/spreadsheets/d/1XL5vhW3sbDhbH9Cz0tuDiY8C3ctxq1tqvaCgkFb8cCA/edit?usp=sharing"",""มุกดาหาร!J155"")"),13)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IFERROR(__xludf.DUMMYFUNCTION("IMPORTRANGE(""https://docs.google.com/spreadsheets/d/1XL5vhW3sbDhbH9Cz0tuDiY8C3ctxq1tqvaCgkFb8cCA/edit?usp=sharing"",""มุกดาหาร!J156"")"),0)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IFERROR(__xludf.DUMMYFUNCTION("IMPORTRANGE(""https://docs.google.com/spreadsheets/d/1XL5vhW3sbDhbH9Cz0tuDiY8C3ctxq1tqvaCgkFb8cCA/edit?usp=sharing"",""มุกดาหาร!J157"")"),0)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IFERROR(__xludf.DUMMYFUNCTION("IMPORTRANGE(""https://docs.google.com/spreadsheets/d/1XL5vhW3sbDhbH9Cz0tuDiY8C3ctxq1tqvaCgkFb8cCA/edit?usp=sharing"",""มุกดาหาร!I158"")"),0)</f>
        <v>0</v>
      </c>
      <c r="J238" s="267">
        <f ca="1">IFERROR(__xludf.DUMMYFUNCTION("IMPORTRANGE(""https://docs.google.com/spreadsheets/d/1XL5vhW3sbDhbH9Cz0tuDiY8C3ctxq1tqvaCgkFb8cCA/edit?usp=sharing"",""มุกดาหาร!J158"")"),0)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IFERROR(__xludf.DUMMYFUNCTION("IMPORTRANGE(""https://docs.google.com/spreadsheets/d/1XL5vhW3sbDhbH9Cz0tuDiY8C3ctxq1tqvaCgkFb8cCA/edit?usp=sharing"",""มุกดาหาร!J159"")"),"")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IFERROR(__xludf.DUMMYFUNCTION("IMPORTRANGE(""https://docs.google.com/spreadsheets/d/1XL5vhW3sbDhbH9Cz0tuDiY8C3ctxq1tqvaCgkFb8cCA/edit?usp=sharing"",""มุกดาหาร!J161"")"),0)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IFERROR(__xludf.DUMMYFUNCTION("IMPORTRANGE(""https://docs.google.com/spreadsheets/d/1XL5vhW3sbDhbH9Cz0tuDiY8C3ctxq1tqvaCgkFb8cCA/edit?usp=sharing"",""มุกดาหาร!J162"")"),0)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IFERROR(__xludf.DUMMYFUNCTION("IMPORTRANGE(""https://docs.google.com/spreadsheets/d/1XL5vhW3sbDhbH9Cz0tuDiY8C3ctxq1tqvaCgkFb8cCA/edit?usp=sharing"",""มุกดาหาร!J163"")"),0)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IFERROR(__xludf.DUMMYFUNCTION("IMPORTRANGE(""https://docs.google.com/spreadsheets/d/1XL5vhW3sbDhbH9Cz0tuDiY8C3ctxq1tqvaCgkFb8cCA/edit?usp=sharing"",""มุกดาหาร!I164"")"),0)</f>
        <v>0</v>
      </c>
      <c r="J244" s="188">
        <f ca="1">IFERROR(__xludf.DUMMYFUNCTION("IMPORTRANGE(""https://docs.google.com/spreadsheets/d/1XL5vhW3sbDhbH9Cz0tuDiY8C3ctxq1tqvaCgkFb8cCA/edit?usp=sharing"",""มุกดาหาร!J164"")"),0)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IFERROR(__xludf.DUMMYFUNCTION("IMPORTRANGE(""https://docs.google.com/spreadsheets/d/1XL5vhW3sbDhbH9Cz0tuDiY8C3ctxq1tqvaCgkFb8cCA/edit?usp=sharing"",""มุกดาหาร!J165"")"),0)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IFERROR(__xludf.DUMMYFUNCTION("IMPORTRANGE(""https://docs.google.com/spreadsheets/d/1XL5vhW3sbDhbH9Cz0tuDiY8C3ctxq1tqvaCgkFb8cCA/edit?usp=sharing"",""มุกดาหาร!J166"")"),0)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IFERROR(__xludf.DUMMYFUNCTION("IMPORTRANGE(""https://docs.google.com/spreadsheets/d/1XL5vhW3sbDhbH9Cz0tuDiY8C3ctxq1tqvaCgkFb8cCA/edit?usp=sharing"",""มุกดาหาร!I169"")"),0)</f>
        <v>0</v>
      </c>
      <c r="J249" s="316">
        <f ca="1">IFERROR(__xludf.DUMMYFUNCTION("IMPORTRANGE(""https://docs.google.com/spreadsheets/d/1XL5vhW3sbDhbH9Cz0tuDiY8C3ctxq1tqvaCgkFb8cCA/edit?usp=sharing"",""มุกดาหาร!J169"")"),0)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54" t="s">
        <v>17</v>
      </c>
      <c r="E250" s="555"/>
      <c r="F250" s="555"/>
      <c r="G250" s="55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52" t="s">
        <v>20</v>
      </c>
      <c r="E253" s="553"/>
      <c r="F253" s="55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537">
        <f ca="1">IFERROR(__xludf.DUMMYFUNCTION("IMPORTRANGE(""https://docs.google.com/spreadsheets/d/1Yj_ptqi66GCucihVvJfMjLAmec39IyEx_6qawtMGysU/edit?usp=sharing"",""สบก!CB46"")"),0)</f>
        <v>0</v>
      </c>
      <c r="N254" s="538">
        <f ca="1">IFERROR(__xludf.DUMMYFUNCTION("IMPORTRANGE(""https://docs.google.com/spreadsheets/d/1Yj_ptqi66GCucihVvJfMjLAmec39IyEx_6qawtMGysU/edit?usp=sharing"",""สบก!CC46"")"),0)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537">
        <f ca="1">IFERROR(__xludf.DUMMYFUNCTION("IMPORTRANGE(""https://docs.google.com/spreadsheets/d/1Yj_ptqi66GCucihVvJfMjLAmec39IyEx_6qawtMGysU/edit?usp=sharing"",""สบก!BX46"")"),0)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537">
        <f ca="1">IFERROR(__xludf.DUMMYFUNCTION("IMPORTRANGE(""https://docs.google.com/spreadsheets/d/1Yj_ptqi66GCucihVvJfMjLAmec39IyEx_6qawtMGysU/edit?usp=sharing"",""สบก!BY46"")"),0)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52" t="s">
        <v>23</v>
      </c>
      <c r="E257" s="553"/>
      <c r="F257" s="89"/>
      <c r="G257" s="82" t="s">
        <v>18</v>
      </c>
      <c r="H257" s="172" t="s">
        <v>12</v>
      </c>
      <c r="I257" s="162"/>
      <c r="J257" s="162"/>
      <c r="K257" s="163"/>
      <c r="L257" s="535">
        <v>0</v>
      </c>
      <c r="M257" s="535"/>
      <c r="N257" s="41"/>
      <c r="O257" s="535"/>
      <c r="P257" s="535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533">
        <f ca="1">IFERROR(__xludf.DUMMYFUNCTION("IMPORTRANGE(""https://docs.google.com/spreadsheets/d/1Yj_ptqi66GCucihVvJfMjLAmec39IyEx_6qawtMGysU/edit?usp=sharing"",""สบก!BZ46"")"),0)</f>
        <v>0</v>
      </c>
      <c r="M258" s="536"/>
      <c r="N258" s="533">
        <f ca="1">IFERROR(__xludf.DUMMYFUNCTION("IMPORTRANGE(""https://docs.google.com/spreadsheets/d/1Yj_ptqi66GCucihVvJfMjLAmec39IyEx_6qawtMGysU/edit?usp=sharing"",""สบก!CD46"")"),0)</f>
        <v>0</v>
      </c>
      <c r="O258" s="536">
        <f ca="1">IF(L258&gt;0,N258*100/L258,0)</f>
        <v>0</v>
      </c>
      <c r="P258" s="536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IFERROR(__xludf.DUMMYFUNCTION("IMPORTRANGE(""https://docs.google.com/spreadsheets/d/1XL5vhW3sbDhbH9Cz0tuDiY8C3ctxq1tqvaCgkFb8cCA/edit?usp=sharing"",""มุกดาหาร!J175"")"),0)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IFERROR(__xludf.DUMMYFUNCTION("IMPORTRANGE(""https://docs.google.com/spreadsheets/d/1XL5vhW3sbDhbH9Cz0tuDiY8C3ctxq1tqvaCgkFb8cCA/edit?usp=sharing"",""มุกดาหาร!J176"")"),0)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IFERROR(__xludf.DUMMYFUNCTION("IMPORTRANGE(""https://docs.google.com/spreadsheets/d/1XL5vhW3sbDhbH9Cz0tuDiY8C3ctxq1tqvaCgkFb8cCA/edit?usp=sharing"",""มุกดาหาร!J177"")"),0)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IFERROR(__xludf.DUMMYFUNCTION("IMPORTRANGE(""https://docs.google.com/spreadsheets/d/1XL5vhW3sbDhbH9Cz0tuDiY8C3ctxq1tqvaCgkFb8cCA/edit?usp=sharing"",""มุกดาหาร!J178"")"),0)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IFERROR(__xludf.DUMMYFUNCTION("IMPORTRANGE(""https://docs.google.com/spreadsheets/d/1XL5vhW3sbDhbH9Cz0tuDiY8C3ctxq1tqvaCgkFb8cCA/edit?usp=sharing"",""มุกดาหาร!I179"")"),0)</f>
        <v>0</v>
      </c>
      <c r="J264" s="189">
        <f ca="1">IFERROR(__xludf.DUMMYFUNCTION("IMPORTRANGE(""https://docs.google.com/spreadsheets/d/1XL5vhW3sbDhbH9Cz0tuDiY8C3ctxq1tqvaCgkFb8cCA/edit?usp=sharing"",""มุกดาหาร!J179"")"),0)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IFERROR(__xludf.DUMMYFUNCTION("IMPORTRANGE(""https://docs.google.com/spreadsheets/d/1XL5vhW3sbDhbH9Cz0tuDiY8C3ctxq1tqvaCgkFb8cCA/edit?usp=sharing"",""มุกดาหาร!I180"")"),0)</f>
        <v>0</v>
      </c>
      <c r="J265" s="189">
        <f ca="1">IFERROR(__xludf.DUMMYFUNCTION("IMPORTRANGE(""https://docs.google.com/spreadsheets/d/1XL5vhW3sbDhbH9Cz0tuDiY8C3ctxq1tqvaCgkFb8cCA/edit?usp=sharing"",""มุกดาหาร!J180"")"),0)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IFERROR(__xludf.DUMMYFUNCTION("IMPORTRANGE(""https://docs.google.com/spreadsheets/d/1XL5vhW3sbDhbH9Cz0tuDiY8C3ctxq1tqvaCgkFb8cCA/edit?usp=sharing"",""มุกดาหาร!I181"")"),0)</f>
        <v>0</v>
      </c>
      <c r="J266" s="189">
        <f ca="1">IFERROR(__xludf.DUMMYFUNCTION("IMPORTRANGE(""https://docs.google.com/spreadsheets/d/1XL5vhW3sbDhbH9Cz0tuDiY8C3ctxq1tqvaCgkFb8cCA/edit?usp=sharing"",""มุกดาหาร!J181"")"),0)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IFERROR(__xludf.DUMMYFUNCTION("IMPORTRANGE(""https://docs.google.com/spreadsheets/d/1XL5vhW3sbDhbH9Cz0tuDiY8C3ctxq1tqvaCgkFb8cCA/edit?usp=sharing"",""มุกดาหาร!I182"")"),0)</f>
        <v>0</v>
      </c>
      <c r="J267" s="189">
        <f ca="1">IFERROR(__xludf.DUMMYFUNCTION("IMPORTRANGE(""https://docs.google.com/spreadsheets/d/1XL5vhW3sbDhbH9Cz0tuDiY8C3ctxq1tqvaCgkFb8cCA/edit?usp=sharing"",""มุกดาหาร!J182"")"),0)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IFERROR(__xludf.DUMMYFUNCTION("IMPORTRANGE(""https://docs.google.com/spreadsheets/d/1XL5vhW3sbDhbH9Cz0tuDiY8C3ctxq1tqvaCgkFb8cCA/edit?usp=sharing"",""มุกดาหาร!J183"")"),0)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IFERROR(__xludf.DUMMYFUNCTION("IMPORTRANGE(""https://docs.google.com/spreadsheets/d/1XL5vhW3sbDhbH9Cz0tuDiY8C3ctxq1tqvaCgkFb8cCA/edit?usp=sharing"",""มุกดาหาร!J184"")"),0)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IFERROR(__xludf.DUMMYFUNCTION("IMPORTRANGE(""https://docs.google.com/spreadsheets/d/1XL5vhW3sbDhbH9Cz0tuDiY8C3ctxq1tqvaCgkFb8cCA/edit?usp=sharing"",""มุกดาหาร!I185"")"),15)</f>
        <v>15</v>
      </c>
      <c r="J270" s="316">
        <f ca="1">IFERROR(__xludf.DUMMYFUNCTION("IMPORTRANGE(""https://docs.google.com/spreadsheets/d/1XL5vhW3sbDhbH9Cz0tuDiY8C3ctxq1tqvaCgkFb8cCA/edit?usp=sharing"",""มุกดาหาร!J185"")"),15)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54" t="s">
        <v>17</v>
      </c>
      <c r="E271" s="555"/>
      <c r="F271" s="555"/>
      <c r="G271" s="555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25210</v>
      </c>
      <c r="O271" s="151">
        <f t="shared" ref="O271:O273" ca="1" si="84">IF(L271&gt;0,N271*100/L271,0)</f>
        <v>45.670289855072461</v>
      </c>
      <c r="P271" s="151">
        <f t="shared" ref="P271:P273" ca="1" si="85">IF(M271&gt;0,N271*100/M271,0)</f>
        <v>78.170542635658919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25210</v>
      </c>
      <c r="O273" s="156">
        <f t="shared" ca="1" si="84"/>
        <v>45.670289855072461</v>
      </c>
      <c r="P273" s="156">
        <f t="shared" ca="1" si="85"/>
        <v>78.170542635658919</v>
      </c>
    </row>
    <row r="274" spans="1:16" ht="21.75" customHeight="1" x14ac:dyDescent="0.45">
      <c r="A274" s="158"/>
      <c r="B274" s="159"/>
      <c r="C274" s="159" t="s">
        <v>16</v>
      </c>
      <c r="D274" s="552" t="s">
        <v>20</v>
      </c>
      <c r="E274" s="553"/>
      <c r="F274" s="55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537">
        <f ca="1">IFERROR(__xludf.DUMMYFUNCTION("IMPORTRANGE(""https://docs.google.com/spreadsheets/d/1Yj_ptqi66GCucihVvJfMjLAmec39IyEx_6qawtMGysU/edit?usp=sharing"",""สบก!CK46"")"),32250)</f>
        <v>32250</v>
      </c>
      <c r="N275" s="538">
        <f ca="1">IFERROR(__xludf.DUMMYFUNCTION("IMPORTRANGE(""https://docs.google.com/spreadsheets/d/1Yj_ptqi66GCucihVvJfMjLAmec39IyEx_6qawtMGysU/edit?usp=sharing"",""สบก!CL46"")"),25210)</f>
        <v>25210</v>
      </c>
      <c r="O275" s="169">
        <f ca="1">IF(L275&gt;0,N275*100/L275,0)</f>
        <v>45.670289855072461</v>
      </c>
      <c r="P275" s="169">
        <f ca="1">IF(M275&gt;0,N275*100/M275,0)</f>
        <v>78.170542635658919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537">
        <f ca="1">IFERROR(__xludf.DUMMYFUNCTION("IMPORTRANGE(""https://docs.google.com/spreadsheets/d/1Yj_ptqi66GCucihVvJfMjLAmec39IyEx_6qawtMGysU/edit?usp=sharing"",""สบก!CG46"")"),0)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537">
        <f ca="1">IFERROR(__xludf.DUMMYFUNCTION("IMPORTRANGE(""https://docs.google.com/spreadsheets/d/1Yj_ptqi66GCucihVvJfMjLAmec39IyEx_6qawtMGysU/edit?usp=sharing"",""สบก!CH46"")"),55200)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52" t="s">
        <v>23</v>
      </c>
      <c r="E278" s="553"/>
      <c r="F278" s="89"/>
      <c r="G278" s="82" t="s">
        <v>18</v>
      </c>
      <c r="H278" s="172" t="s">
        <v>12</v>
      </c>
      <c r="I278" s="162"/>
      <c r="J278" s="162"/>
      <c r="K278" s="163"/>
      <c r="L278" s="535">
        <v>0</v>
      </c>
      <c r="M278" s="535"/>
      <c r="N278" s="41"/>
      <c r="O278" s="535"/>
      <c r="P278" s="535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533">
        <f ca="1">IFERROR(__xludf.DUMMYFUNCTION("IMPORTRANGE(""https://docs.google.com/spreadsheets/d/1Yj_ptqi66GCucihVvJfMjLAmec39IyEx_6qawtMGysU/edit?usp=sharing"",""สบก!CI46"")"),0)</f>
        <v>0</v>
      </c>
      <c r="M279" s="536"/>
      <c r="N279" s="533">
        <f ca="1">IFERROR(__xludf.DUMMYFUNCTION("IMPORTRANGE(""https://docs.google.com/spreadsheets/d/1Yj_ptqi66GCucihVvJfMjLAmec39IyEx_6qawtMGysU/edit?usp=sharing"",""สบก!CM46"")"),0)</f>
        <v>0</v>
      </c>
      <c r="O279" s="536">
        <f ca="1">IF(L279&gt;0,N279*100/L279,0)</f>
        <v>0</v>
      </c>
      <c r="P279" s="536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IFERROR(__xludf.DUMMYFUNCTION("IMPORTRANGE(""https://docs.google.com/spreadsheets/d/1XL5vhW3sbDhbH9Cz0tuDiY8C3ctxq1tqvaCgkFb8cCA/edit?usp=sharing"",""มุกดาหาร!J191"")"),0)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IFERROR(__xludf.DUMMYFUNCTION("IMPORTRANGE(""https://docs.google.com/spreadsheets/d/1XL5vhW3sbDhbH9Cz0tuDiY8C3ctxq1tqvaCgkFb8cCA/edit?usp=sharing"",""มุกดาหาร!J192"")"),1)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IFERROR(__xludf.DUMMYFUNCTION("IMPORTRANGE(""https://docs.google.com/spreadsheets/d/1XL5vhW3sbDhbH9Cz0tuDiY8C3ctxq1tqvaCgkFb8cCA/edit?usp=sharing"",""มุกดาหาร!J193"")"),1)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IFERROR(__xludf.DUMMYFUNCTION("IMPORTRANGE(""https://docs.google.com/spreadsheets/d/1XL5vhW3sbDhbH9Cz0tuDiY8C3ctxq1tqvaCgkFb8cCA/edit?usp=sharing"",""มุกดาหาร!J194"")"),1)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IFERROR(__xludf.DUMMYFUNCTION("IMPORTRANGE(""https://docs.google.com/spreadsheets/d/1XL5vhW3sbDhbH9Cz0tuDiY8C3ctxq1tqvaCgkFb8cCA/edit?usp=sharing"",""มุกดาหาร!I195"")"),15)</f>
        <v>15</v>
      </c>
      <c r="J285" s="189">
        <f ca="1">IFERROR(__xludf.DUMMYFUNCTION("IMPORTRANGE(""https://docs.google.com/spreadsheets/d/1XL5vhW3sbDhbH9Cz0tuDiY8C3ctxq1tqvaCgkFb8cCA/edit?usp=sharing"",""มุกดาหาร!J195"")"),15)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IFERROR(__xludf.DUMMYFUNCTION("IMPORTRANGE(""https://docs.google.com/spreadsheets/d/1XL5vhW3sbDhbH9Cz0tuDiY8C3ctxq1tqvaCgkFb8cCA/edit?usp=sharing"",""มุกดาหาร!J196"")"),0)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IFERROR(__xludf.DUMMYFUNCTION("IMPORTRANGE(""https://docs.google.com/spreadsheets/d/1XL5vhW3sbDhbH9Cz0tuDiY8C3ctxq1tqvaCgkFb8cCA/edit?usp=sharing"",""มุกดาหาร!J197"")"),0)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IFERROR(__xludf.DUMMYFUNCTION("IMPORTRANGE(""https://docs.google.com/spreadsheets/d/1XL5vhW3sbDhbH9Cz0tuDiY8C3ctxq1tqvaCgkFb8cCA/edit?usp=sharing"",""มุกดาหาร!I199"")"),0)</f>
        <v>0</v>
      </c>
      <c r="J289" s="316">
        <f ca="1">IFERROR(__xludf.DUMMYFUNCTION("IMPORTRANGE(""https://docs.google.com/spreadsheets/d/1XL5vhW3sbDhbH9Cz0tuDiY8C3ctxq1tqvaCgkFb8cCA/edit?usp=sharing"",""มุกดาหาร!J199"")"),0)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54" t="s">
        <v>17</v>
      </c>
      <c r="E290" s="555"/>
      <c r="F290" s="555"/>
      <c r="G290" s="55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52" t="s">
        <v>20</v>
      </c>
      <c r="E293" s="553"/>
      <c r="F293" s="55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537">
        <f ca="1">IFERROR(__xludf.DUMMYFUNCTION("IMPORTRANGE(""https://docs.google.com/spreadsheets/d/1Yj_ptqi66GCucihVvJfMjLAmec39IyEx_6qawtMGysU/edit?usp=sharing"",""สบก!CT46"")"),0)</f>
        <v>0</v>
      </c>
      <c r="N294" s="538">
        <f ca="1">IFERROR(__xludf.DUMMYFUNCTION("IMPORTRANGE(""https://docs.google.com/spreadsheets/d/1Yj_ptqi66GCucihVvJfMjLAmec39IyEx_6qawtMGysU/edit?usp=sharing"",""สบก!CU46"")"),0)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537">
        <f ca="1">IFERROR(__xludf.DUMMYFUNCTION("IMPORTRANGE(""https://docs.google.com/spreadsheets/d/1Yj_ptqi66GCucihVvJfMjLAmec39IyEx_6qawtMGysU/edit?usp=sharing"",""สบก!CP46"")"),0)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537">
        <f ca="1">IFERROR(__xludf.DUMMYFUNCTION("IMPORTRANGE(""https://docs.google.com/spreadsheets/d/1Yj_ptqi66GCucihVvJfMjLAmec39IyEx_6qawtMGysU/edit?usp=sharing"",""สบก!CQ46"")"),0)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52" t="s">
        <v>23</v>
      </c>
      <c r="E297" s="553"/>
      <c r="F297" s="89"/>
      <c r="G297" s="82" t="s">
        <v>18</v>
      </c>
      <c r="H297" s="172" t="s">
        <v>12</v>
      </c>
      <c r="I297" s="188"/>
      <c r="J297" s="188"/>
      <c r="K297" s="224"/>
      <c r="L297" s="535">
        <v>0</v>
      </c>
      <c r="M297" s="535"/>
      <c r="N297" s="41"/>
      <c r="O297" s="535"/>
      <c r="P297" s="535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533">
        <f ca="1">IFERROR(__xludf.DUMMYFUNCTION("IMPORTRANGE(""https://docs.google.com/spreadsheets/d/1Yj_ptqi66GCucihVvJfMjLAmec39IyEx_6qawtMGysU/edit?usp=sharing"",""สบก!CR46"")"),0)</f>
        <v>0</v>
      </c>
      <c r="M298" s="536"/>
      <c r="N298" s="533">
        <f ca="1">IFERROR(__xludf.DUMMYFUNCTION("IMPORTRANGE(""https://docs.google.com/spreadsheets/d/1Yj_ptqi66GCucihVvJfMjLAmec39IyEx_6qawtMGysU/edit?usp=sharing"",""สบก!CV46"")"),0)</f>
        <v>0</v>
      </c>
      <c r="O298" s="536">
        <f ca="1">IF(L298&gt;0,N298*100/L298,0)</f>
        <v>0</v>
      </c>
      <c r="P298" s="536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IFERROR(__xludf.DUMMYFUNCTION("IMPORTRANGE(""https://docs.google.com/spreadsheets/d/1XL5vhW3sbDhbH9Cz0tuDiY8C3ctxq1tqvaCgkFb8cCA/edit?usp=sharing"",""มุกดาหาร!J205"")"),0)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IFERROR(__xludf.DUMMYFUNCTION("IMPORTRANGE(""https://docs.google.com/spreadsheets/d/1XL5vhW3sbDhbH9Cz0tuDiY8C3ctxq1tqvaCgkFb8cCA/edit?usp=sharing"",""มุกดาหาร!J206"")"),0)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IFERROR(__xludf.DUMMYFUNCTION("IMPORTRANGE(""https://docs.google.com/spreadsheets/d/1XL5vhW3sbDhbH9Cz0tuDiY8C3ctxq1tqvaCgkFb8cCA/edit?usp=sharing"",""มุกดาหาร!J207"")"),0)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IFERROR(__xludf.DUMMYFUNCTION("IMPORTRANGE(""https://docs.google.com/spreadsheets/d/1XL5vhW3sbDhbH9Cz0tuDiY8C3ctxq1tqvaCgkFb8cCA/edit?usp=sharing"",""มุกดาหาร!J208"")"),0)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IFERROR(__xludf.DUMMYFUNCTION("IMPORTRANGE(""https://docs.google.com/spreadsheets/d/1XL5vhW3sbDhbH9Cz0tuDiY8C3ctxq1tqvaCgkFb8cCA/edit?usp=sharing"",""มุกดาหาร!I209"")"),0)</f>
        <v>0</v>
      </c>
      <c r="J304" s="204">
        <f ca="1">IFERROR(__xludf.DUMMYFUNCTION("IMPORTRANGE(""https://docs.google.com/spreadsheets/d/1XL5vhW3sbDhbH9Cz0tuDiY8C3ctxq1tqvaCgkFb8cCA/edit?usp=sharing"",""มุกดาหาร!J209"")"),0)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IFERROR(__xludf.DUMMYFUNCTION("IMPORTRANGE(""https://docs.google.com/spreadsheets/d/1XL5vhW3sbDhbH9Cz0tuDiY8C3ctxq1tqvaCgkFb8cCA/edit?usp=sharing"",""มุกดาหาร!I211"")"),0)</f>
        <v>0</v>
      </c>
      <c r="J306" s="204">
        <f ca="1">IFERROR(__xludf.DUMMYFUNCTION("IMPORTRANGE(""https://docs.google.com/spreadsheets/d/1XL5vhW3sbDhbH9Cz0tuDiY8C3ctxq1tqvaCgkFb8cCA/edit?usp=sharing"",""มุกดาหาร!J211"")"),0)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IFERROR(__xludf.DUMMYFUNCTION("IMPORTRANGE(""https://docs.google.com/spreadsheets/d/1XL5vhW3sbDhbH9Cz0tuDiY8C3ctxq1tqvaCgkFb8cCA/edit?usp=sharing"",""มุกดาหาร!J212"")"),0)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IFERROR(__xludf.DUMMYFUNCTION("IMPORTRANGE(""https://docs.google.com/spreadsheets/d/1XL5vhW3sbDhbH9Cz0tuDiY8C3ctxq1tqvaCgkFb8cCA/edit?usp=sharing"",""มุกดาหาร!J213"")"),0)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IFERROR(__xludf.DUMMYFUNCTION("IMPORTRANGE(""https://docs.google.com/spreadsheets/d/1XL5vhW3sbDhbH9Cz0tuDiY8C3ctxq1tqvaCgkFb8cCA/edit?usp=sharing"",""มุกดาหาร!I214"")"),0)</f>
        <v>0</v>
      </c>
      <c r="J309" s="333">
        <f ca="1">IFERROR(__xludf.DUMMYFUNCTION("IMPORTRANGE(""https://docs.google.com/spreadsheets/d/1XL5vhW3sbDhbH9Cz0tuDiY8C3ctxq1tqvaCgkFb8cCA/edit?usp=sharing"",""มุกดาหาร!J214"")"),0)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54" t="s">
        <v>17</v>
      </c>
      <c r="E310" s="555"/>
      <c r="F310" s="555"/>
      <c r="G310" s="55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52" t="s">
        <v>20</v>
      </c>
      <c r="E313" s="553"/>
      <c r="F313" s="55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537">
        <f ca="1">IFERROR(__xludf.DUMMYFUNCTION("IMPORTRANGE(""https://docs.google.com/spreadsheets/d/1Yj_ptqi66GCucihVvJfMjLAmec39IyEx_6qawtMGysU/edit?usp=sharing"",""สบก!DC46"")"),0)</f>
        <v>0</v>
      </c>
      <c r="N314" s="538">
        <f ca="1">IFERROR(__xludf.DUMMYFUNCTION("IMPORTRANGE(""https://docs.google.com/spreadsheets/d/1Yj_ptqi66GCucihVvJfMjLAmec39IyEx_6qawtMGysU/edit?usp=sharing"",""สบก!DD46"")"),0)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537">
        <f ca="1">IFERROR(__xludf.DUMMYFUNCTION("IMPORTRANGE(""https://docs.google.com/spreadsheets/d/1Yj_ptqi66GCucihVvJfMjLAmec39IyEx_6qawtMGysU/edit?usp=sharing"",""สบก!CY46"")"),0)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537">
        <f ca="1">IFERROR(__xludf.DUMMYFUNCTION("IMPORTRANGE(""https://docs.google.com/spreadsheets/d/1Yj_ptqi66GCucihVvJfMjLAmec39IyEx_6qawtMGysU/edit?usp=sharing"",""สบก!CZ46"")"),0)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52" t="s">
        <v>23</v>
      </c>
      <c r="E317" s="553"/>
      <c r="F317" s="89"/>
      <c r="G317" s="82" t="s">
        <v>18</v>
      </c>
      <c r="H317" s="172" t="s">
        <v>12</v>
      </c>
      <c r="I317" s="162"/>
      <c r="J317" s="188"/>
      <c r="K317" s="224"/>
      <c r="L317" s="535">
        <v>0</v>
      </c>
      <c r="M317" s="535"/>
      <c r="N317" s="41"/>
      <c r="O317" s="535"/>
      <c r="P317" s="535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533">
        <f ca="1">IFERROR(__xludf.DUMMYFUNCTION("IMPORTRANGE(""https://docs.google.com/spreadsheets/d/1Yj_ptqi66GCucihVvJfMjLAmec39IyEx_6qawtMGysU/edit?usp=sharing"",""สบก!DA46"")"),0)</f>
        <v>0</v>
      </c>
      <c r="M318" s="536"/>
      <c r="N318" s="533">
        <f ca="1">IFERROR(__xludf.DUMMYFUNCTION("IMPORTRANGE(""https://docs.google.com/spreadsheets/d/1Yj_ptqi66GCucihVvJfMjLAmec39IyEx_6qawtMGysU/edit?usp=sharing"",""สบก!DE46"")"),0)</f>
        <v>0</v>
      </c>
      <c r="O318" s="536">
        <f ca="1">IF(L318&gt;0,N318*100/L318,0)</f>
        <v>0</v>
      </c>
      <c r="P318" s="536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IFERROR(__xludf.DUMMYFUNCTION("IMPORTRANGE(""https://docs.google.com/spreadsheets/d/1XL5vhW3sbDhbH9Cz0tuDiY8C3ctxq1tqvaCgkFb8cCA/edit?usp=sharing"",""มุกดาหาร!J220"")"),0)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IFERROR(__xludf.DUMMYFUNCTION("IMPORTRANGE(""https://docs.google.com/spreadsheets/d/1XL5vhW3sbDhbH9Cz0tuDiY8C3ctxq1tqvaCgkFb8cCA/edit?usp=sharing"",""มุกดาหาร!J221"")"),0)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IFERROR(__xludf.DUMMYFUNCTION("IMPORTRANGE(""https://docs.google.com/spreadsheets/d/1XL5vhW3sbDhbH9Cz0tuDiY8C3ctxq1tqvaCgkFb8cCA/edit?usp=sharing"",""มุกดาหาร!J222"")"),0)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IFERROR(__xludf.DUMMYFUNCTION("IMPORTRANGE(""https://docs.google.com/spreadsheets/d/1XL5vhW3sbDhbH9Cz0tuDiY8C3ctxq1tqvaCgkFb8cCA/edit?usp=sharing"",""มุกดาหาร!J223"")"),0)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IFERROR(__xludf.DUMMYFUNCTION("IMPORTRANGE(""https://docs.google.com/spreadsheets/d/1XL5vhW3sbDhbH9Cz0tuDiY8C3ctxq1tqvaCgkFb8cCA/edit?usp=sharing"",""มุกดาหาร!I224"")"),0)</f>
        <v>0</v>
      </c>
      <c r="J324" s="204">
        <f ca="1">IFERROR(__xludf.DUMMYFUNCTION("IMPORTRANGE(""https://docs.google.com/spreadsheets/d/1XL5vhW3sbDhbH9Cz0tuDiY8C3ctxq1tqvaCgkFb8cCA/edit?usp=sharing"",""มุกดาหาร!J224"")"),0)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IFERROR(__xludf.DUMMYFUNCTION("IMPORTRANGE(""https://docs.google.com/spreadsheets/d/1XL5vhW3sbDhbH9Cz0tuDiY8C3ctxq1tqvaCgkFb8cCA/edit?usp=sharing"",""มุกดาหาร!J225"")"),0)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IFERROR(__xludf.DUMMYFUNCTION("IMPORTRANGE(""https://docs.google.com/spreadsheets/d/1XL5vhW3sbDhbH9Cz0tuDiY8C3ctxq1tqvaCgkFb8cCA/edit?usp=sharing"",""มุกดาหาร!J226"")"),0)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IFERROR(__xludf.DUMMYFUNCTION("IMPORTRANGE(""https://docs.google.com/spreadsheets/d/1XL5vhW3sbDhbH9Cz0tuDiY8C3ctxq1tqvaCgkFb8cCA/edit?usp=sharing"",""มุกดาหาร!I228"")"),225)</f>
        <v>225</v>
      </c>
      <c r="J328" s="339">
        <f ca="1">IFERROR(__xludf.DUMMYFUNCTION("IMPORTRANGE(""https://docs.google.com/spreadsheets/d/1XL5vhW3sbDhbH9Cz0tuDiY8C3ctxq1tqvaCgkFb8cCA/edit?usp=sharing"",""มุกดาหาร!J228"")"),144)</f>
        <v>144</v>
      </c>
      <c r="K328" s="317">
        <f ca="1">IF(I328&gt;0,J328*100/I328,0)</f>
        <v>64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54" t="s">
        <v>17</v>
      </c>
      <c r="E329" s="555"/>
      <c r="F329" s="555"/>
      <c r="G329" s="555"/>
      <c r="H329" s="149" t="s">
        <v>12</v>
      </c>
      <c r="I329" s="162"/>
      <c r="J329" s="162"/>
      <c r="K329" s="163"/>
      <c r="L329" s="152">
        <f t="shared" ref="L329:N329" ca="1" si="98">L330+L331</f>
        <v>835710</v>
      </c>
      <c r="M329" s="152">
        <f t="shared" ca="1" si="98"/>
        <v>632560</v>
      </c>
      <c r="N329" s="152">
        <f t="shared" ca="1" si="98"/>
        <v>497210</v>
      </c>
      <c r="O329" s="151">
        <f t="shared" ref="O329:O331" ca="1" si="99">IF(L329&gt;0,N329*100/L329,0)</f>
        <v>59.495518780438189</v>
      </c>
      <c r="P329" s="151">
        <f t="shared" ref="P329:P331" ca="1" si="100">IF(M329&gt;0,N329*100/M329,0)</f>
        <v>78.602820285822688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835710</v>
      </c>
      <c r="M331" s="157">
        <f t="shared" ca="1" si="102"/>
        <v>632560</v>
      </c>
      <c r="N331" s="157">
        <f t="shared" ca="1" si="102"/>
        <v>497210</v>
      </c>
      <c r="O331" s="156">
        <f t="shared" ca="1" si="99"/>
        <v>59.495518780438189</v>
      </c>
      <c r="P331" s="156">
        <f t="shared" ca="1" si="100"/>
        <v>78.602820285822688</v>
      </c>
    </row>
    <row r="332" spans="1:16" ht="21.75" customHeight="1" x14ac:dyDescent="0.45">
      <c r="A332" s="158"/>
      <c r="B332" s="159"/>
      <c r="C332" s="159" t="s">
        <v>16</v>
      </c>
      <c r="D332" s="552" t="s">
        <v>20</v>
      </c>
      <c r="E332" s="553"/>
      <c r="F332" s="55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696710</v>
      </c>
      <c r="M333" s="537">
        <f ca="1">IFERROR(__xludf.DUMMYFUNCTION("IMPORTRANGE(""https://docs.google.com/spreadsheets/d/1Yj_ptqi66GCucihVvJfMjLAmec39IyEx_6qawtMGysU/edit?usp=sharing"",""สบก!DL46"")"),493560)</f>
        <v>493560</v>
      </c>
      <c r="N333" s="538">
        <f ca="1">IFERROR(__xludf.DUMMYFUNCTION("IMPORTRANGE(""https://docs.google.com/spreadsheets/d/1Yj_ptqi66GCucihVvJfMjLAmec39IyEx_6qawtMGysU/edit?usp=sharing"",""สบก!DM46"")"),358210)</f>
        <v>358210</v>
      </c>
      <c r="O333" s="169">
        <f ca="1">IF(L333&gt;0,N333*100/L333,0)</f>
        <v>51.414505317851045</v>
      </c>
      <c r="P333" s="169">
        <f ca="1">IF(M333&gt;0,N333*100/M333,0)</f>
        <v>72.576789042872193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537">
        <f ca="1">IFERROR(__xludf.DUMMYFUNCTION("IMPORTRANGE(""https://docs.google.com/spreadsheets/d/1Yj_ptqi66GCucihVvJfMjLAmec39IyEx_6qawtMGysU/edit?usp=sharing"",""สบก!DH46"")"),306000)</f>
        <v>306000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537">
        <f ca="1">IFERROR(__xludf.DUMMYFUNCTION("IMPORTRANGE(""https://docs.google.com/spreadsheets/d/1Yj_ptqi66GCucihVvJfMjLAmec39IyEx_6qawtMGysU/edit?usp=sharing"",""สบก!DI46"")"),390710)</f>
        <v>390710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52" t="s">
        <v>23</v>
      </c>
      <c r="E336" s="553"/>
      <c r="F336" s="89"/>
      <c r="G336" s="82" t="s">
        <v>18</v>
      </c>
      <c r="H336" s="172" t="s">
        <v>12</v>
      </c>
      <c r="I336" s="162"/>
      <c r="J336" s="162"/>
      <c r="K336" s="163"/>
      <c r="L336" s="535">
        <v>0</v>
      </c>
      <c r="M336" s="535"/>
      <c r="N336" s="41"/>
      <c r="O336" s="535"/>
      <c r="P336" s="535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533">
        <f ca="1">IFERROR(__xludf.DUMMYFUNCTION("IMPORTRANGE(""https://docs.google.com/spreadsheets/d/1Yj_ptqi66GCucihVvJfMjLAmec39IyEx_6qawtMGysU/edit?usp=sharing"",""สบก!DJ46"")"),139000)</f>
        <v>139000</v>
      </c>
      <c r="M337" s="536">
        <f ca="1">L337</f>
        <v>139000</v>
      </c>
      <c r="N337" s="533">
        <f ca="1">IFERROR(__xludf.DUMMYFUNCTION("IMPORTRANGE(""https://docs.google.com/spreadsheets/d/1Yj_ptqi66GCucihVvJfMjLAmec39IyEx_6qawtMGysU/edit?usp=sharing"",""สบก!DN46"")"),139000)</f>
        <v>139000</v>
      </c>
      <c r="O337" s="536">
        <f ca="1">IF(L337&gt;0,N337*100/L337,0)</f>
        <v>100</v>
      </c>
      <c r="P337" s="536">
        <f ca="1">IF(M337&gt;0,N337*100/M337,0)</f>
        <v>100</v>
      </c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IFERROR(__xludf.DUMMYFUNCTION("IMPORTRANGE(""https://docs.google.com/spreadsheets/d/1XL5vhW3sbDhbH9Cz0tuDiY8C3ctxq1tqvaCgkFb8cCA/edit?usp=sharing"",""มุกดาหาร!I234"")"),0)</f>
        <v>0</v>
      </c>
      <c r="J339" s="188">
        <f ca="1">IFERROR(__xludf.DUMMYFUNCTION("IMPORTRANGE(""https://docs.google.com/spreadsheets/d/1XL5vhW3sbDhbH9Cz0tuDiY8C3ctxq1tqvaCgkFb8cCA/edit?usp=sharing"",""มุกดาหาร!J234"")"),181)</f>
        <v>181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IFERROR(__xludf.DUMMYFUNCTION("IMPORTRANGE(""https://docs.google.com/spreadsheets/d/1XL5vhW3sbDhbH9Cz0tuDiY8C3ctxq1tqvaCgkFb8cCA/edit?usp=sharing"",""มุกดาหาร!I235"")"),1800)</f>
        <v>1800</v>
      </c>
      <c r="J340" s="188">
        <f ca="1">IFERROR(__xludf.DUMMYFUNCTION("IMPORTRANGE(""https://docs.google.com/spreadsheets/d/1XL5vhW3sbDhbH9Cz0tuDiY8C3ctxq1tqvaCgkFb8cCA/edit?usp=sharing"",""มุกดาหาร!J235"")"),1370.26)</f>
        <v>1370.26</v>
      </c>
      <c r="K340" s="342">
        <f t="shared" ca="1" si="103"/>
        <v>76.12555555555555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IFERROR(__xludf.DUMMYFUNCTION("IMPORTRANGE(""https://docs.google.com/spreadsheets/d/1XL5vhW3sbDhbH9Cz0tuDiY8C3ctxq1tqvaCgkFb8cCA/edit?usp=sharing"",""มุกดาหาร!I236"")"),225)</f>
        <v>225</v>
      </c>
      <c r="J341" s="188">
        <f ca="1">IFERROR(__xludf.DUMMYFUNCTION("IMPORTRANGE(""https://docs.google.com/spreadsheets/d/1XL5vhW3sbDhbH9Cz0tuDiY8C3ctxq1tqvaCgkFb8cCA/edit?usp=sharing"",""มุกดาหาร!J236"")"),241)</f>
        <v>241</v>
      </c>
      <c r="K341" s="342">
        <f t="shared" ca="1" si="103"/>
        <v>107.11111111111111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IFERROR(__xludf.DUMMYFUNCTION("IMPORTRANGE(""https://docs.google.com/spreadsheets/d/1XL5vhW3sbDhbH9Cz0tuDiY8C3ctxq1tqvaCgkFb8cCA/edit?usp=sharing"",""มุกดาหาร!I237"")"),0)</f>
        <v>0</v>
      </c>
      <c r="J342" s="188">
        <f ca="1">IFERROR(__xludf.DUMMYFUNCTION("IMPORTRANGE(""https://docs.google.com/spreadsheets/d/1XL5vhW3sbDhbH9Cz0tuDiY8C3ctxq1tqvaCgkFb8cCA/edit?usp=sharing"",""มุกดาหาร!J237"")"),2132.07)</f>
        <v>2132.0700000000002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IFERROR(__xludf.DUMMYFUNCTION("IMPORTRANGE(""https://docs.google.com/spreadsheets/d/1XL5vhW3sbDhbH9Cz0tuDiY8C3ctxq1tqvaCgkFb8cCA/edit?usp=sharing"",""มุกดาหาร!I238"")"),225)</f>
        <v>225</v>
      </c>
      <c r="J343" s="188">
        <f ca="1">IFERROR(__xludf.DUMMYFUNCTION("IMPORTRANGE(""https://docs.google.com/spreadsheets/d/1XL5vhW3sbDhbH9Cz0tuDiY8C3ctxq1tqvaCgkFb8cCA/edit?usp=sharing"",""มุกดาหาร!J238"")"),0)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IFERROR(__xludf.DUMMYFUNCTION("IMPORTRANGE(""https://docs.google.com/spreadsheets/d/1XL5vhW3sbDhbH9Cz0tuDiY8C3ctxq1tqvaCgkFb8cCA/edit?usp=sharing"",""มุกดาหาร!I239"")"),0)</f>
        <v>0</v>
      </c>
      <c r="J344" s="188">
        <f ca="1">IFERROR(__xludf.DUMMYFUNCTION("IMPORTRANGE(""https://docs.google.com/spreadsheets/d/1XL5vhW3sbDhbH9Cz0tuDiY8C3ctxq1tqvaCgkFb8cCA/edit?usp=sharing"",""มุกดาหาร!J239"")"),0)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IFERROR(__xludf.DUMMYFUNCTION("IMPORTRANGE(""https://docs.google.com/spreadsheets/d/1XL5vhW3sbDhbH9Cz0tuDiY8C3ctxq1tqvaCgkFb8cCA/edit?usp=sharing"",""มุกดาหาร!I240"")"),225)</f>
        <v>225</v>
      </c>
      <c r="J345" s="188">
        <f ca="1">IFERROR(__xludf.DUMMYFUNCTION("IMPORTRANGE(""https://docs.google.com/spreadsheets/d/1XL5vhW3sbDhbH9Cz0tuDiY8C3ctxq1tqvaCgkFb8cCA/edit?usp=sharing"",""มุกดาหาร!J240"")"),144)</f>
        <v>144</v>
      </c>
      <c r="K345" s="342">
        <f t="shared" ca="1" si="103"/>
        <v>64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IFERROR(__xludf.DUMMYFUNCTION("IMPORTRANGE(""https://docs.google.com/spreadsheets/d/1XL5vhW3sbDhbH9Cz0tuDiY8C3ctxq1tqvaCgkFb8cCA/edit?usp=sharing"",""มุกดาหาร!I241"")"),0)</f>
        <v>0</v>
      </c>
      <c r="J346" s="188">
        <f ca="1">IFERROR(__xludf.DUMMYFUNCTION("IMPORTRANGE(""https://docs.google.com/spreadsheets/d/1XL5vhW3sbDhbH9Cz0tuDiY8C3ctxq1tqvaCgkFb8cCA/edit?usp=sharing"",""มุกดาหาร!J241"")"),1395.01)</f>
        <v>1395.01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IFERROR(__xludf.DUMMYFUNCTION("IMPORTRANGE(""https://docs.google.com/spreadsheets/d/1XL5vhW3sbDhbH9Cz0tuDiY8C3ctxq1tqvaCgkFb8cCA/edit?usp=sharing"",""มุกดาหาร!L242"")"),2534478)</f>
        <v>2534478</v>
      </c>
      <c r="M347" s="358"/>
      <c r="N347" s="358">
        <f ca="1">IFERROR(__xludf.DUMMYFUNCTION("IMPORTRANGE(""https://docs.google.com/spreadsheets/d/1XL5vhW3sbDhbH9Cz0tuDiY8C3ctxq1tqvaCgkFb8cCA/edit?usp=sharing"",""มุกดาหาร!M242"")"),910177.3)</f>
        <v>910177.3</v>
      </c>
      <c r="O347" s="358">
        <f ca="1">+IF(L347&gt;0,N347*100/L347,0)</f>
        <v>35.911824841249363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IFERROR(__xludf.DUMMYFUNCTION("IMPORTRANGE(""https://docs.google.com/spreadsheets/d/1XL5vhW3sbDhbH9Cz0tuDiY8C3ctxq1tqvaCgkFb8cCA/edit?usp=sharing"",""มุกดาหาร!I244"")"),190)</f>
        <v>190</v>
      </c>
      <c r="J349" s="371">
        <f ca="1">IFERROR(__xludf.DUMMYFUNCTION("IMPORTRANGE(""https://docs.google.com/spreadsheets/d/1XL5vhW3sbDhbH9Cz0tuDiY8C3ctxq1tqvaCgkFb8cCA/edit?usp=sharing"",""มุกดาหาร!J244"")"),0)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IFERROR(__xludf.DUMMYFUNCTION("IMPORTRANGE(""https://docs.google.com/spreadsheets/d/1XL5vhW3sbDhbH9Cz0tuDiY8C3ctxq1tqvaCgkFb8cCA/edit?usp=sharing"",""มุกดาหาร!L244"")"),445930)</f>
        <v>445930</v>
      </c>
      <c r="M349" s="373"/>
      <c r="N349" s="373">
        <f ca="1">IFERROR(__xludf.DUMMYFUNCTION("IMPORTRANGE(""https://docs.google.com/spreadsheets/d/1XL5vhW3sbDhbH9Cz0tuDiY8C3ctxq1tqvaCgkFb8cCA/edit?usp=sharing"",""มุกดาหาร!M244"")"),164993)</f>
        <v>164993</v>
      </c>
      <c r="O349" s="373">
        <f ca="1">+IF(L349&gt;0,N349*100/L349,0)</f>
        <v>36.999753324512817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IFERROR(__xludf.DUMMYFUNCTION("IMPORTRANGE(""https://docs.google.com/spreadsheets/d/1XL5vhW3sbDhbH9Cz0tuDiY8C3ctxq1tqvaCgkFb8cCA/edit?usp=sharing"",""มุกดาหาร!I245"")"),65)</f>
        <v>65</v>
      </c>
      <c r="J350" s="371">
        <f ca="1">IFERROR(__xludf.DUMMYFUNCTION("IMPORTRANGE(""https://docs.google.com/spreadsheets/d/1XL5vhW3sbDhbH9Cz0tuDiY8C3ctxq1tqvaCgkFb8cCA/edit?usp=sharing"",""มุกดาหาร!J245"")"),65)</f>
        <v>65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IFERROR(__xludf.DUMMYFUNCTION("IMPORTRANGE(""https://docs.google.com/spreadsheets/d/1XL5vhW3sbDhbH9Cz0tuDiY8C3ctxq1tqvaCgkFb8cCA/edit?usp=sharing"",""มุกดาหาร!L246"")"),0)</f>
        <v>0</v>
      </c>
      <c r="M351" s="164"/>
      <c r="N351" s="164">
        <f ca="1">IFERROR(__xludf.DUMMYFUNCTION("IMPORTRANGE(""https://docs.google.com/spreadsheets/d/1XL5vhW3sbDhbH9Cz0tuDiY8C3ctxq1tqvaCgkFb8cCA/edit?usp=sharing"",""มุกดาหาร!M246"")"),0)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IFERROR(__xludf.DUMMYFUNCTION("IMPORTRANGE(""https://docs.google.com/spreadsheets/d/1XL5vhW3sbDhbH9Cz0tuDiY8C3ctxq1tqvaCgkFb8cCA/edit?usp=sharing"",""มุกดาหาร!L247"")"),445930)</f>
        <v>445930</v>
      </c>
      <c r="M352" s="165"/>
      <c r="N352" s="164">
        <f ca="1">IFERROR(__xludf.DUMMYFUNCTION("IMPORTRANGE(""https://docs.google.com/spreadsheets/d/1XL5vhW3sbDhbH9Cz0tuDiY8C3ctxq1tqvaCgkFb8cCA/edit?usp=sharing"",""มุกดาหาร!M247"")"),164993)</f>
        <v>164993</v>
      </c>
      <c r="O352" s="165">
        <f t="shared" ca="1" si="105"/>
        <v>36.999753324512817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IFERROR(__xludf.DUMMYFUNCTION("IMPORTRANGE(""https://docs.google.com/spreadsheets/d/1XL5vhW3sbDhbH9Cz0tuDiY8C3ctxq1tqvaCgkFb8cCA/edit?usp=sharing"",""มุกดาหาร!L248"")"),0)</f>
        <v>0</v>
      </c>
      <c r="M353" s="169"/>
      <c r="N353" s="169">
        <f ca="1">IFERROR(__xludf.DUMMYFUNCTION("IMPORTRANGE(""https://docs.google.com/spreadsheets/d/1XL5vhW3sbDhbH9Cz0tuDiY8C3ctxq1tqvaCgkFb8cCA/edit?usp=sharing"",""มุกดาหาร!M248"")"),0)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IFERROR(__xludf.DUMMYFUNCTION("IMPORTRANGE(""https://docs.google.com/spreadsheets/d/1XL5vhW3sbDhbH9Cz0tuDiY8C3ctxq1tqvaCgkFb8cCA/edit?usp=sharing"",""มุกดาหาร!L249"")"),445930)</f>
        <v>445930</v>
      </c>
      <c r="M354" s="169"/>
      <c r="N354" s="168">
        <f ca="1">IFERROR(__xludf.DUMMYFUNCTION("IMPORTRANGE(""https://docs.google.com/spreadsheets/d/1XL5vhW3sbDhbH9Cz0tuDiY8C3ctxq1tqvaCgkFb8cCA/edit?usp=sharing"",""มุกดาหาร!M249"")"),164993)</f>
        <v>164993</v>
      </c>
      <c r="O354" s="169">
        <f t="shared" ca="1" si="105"/>
        <v>36.999753324512817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IFERROR(__xludf.DUMMYFUNCTION("IMPORTRANGE(""https://docs.google.com/spreadsheets/d/1XL5vhW3sbDhbH9Cz0tuDiY8C3ctxq1tqvaCgkFb8cCA/edit?usp=sharing"",""มุกดาหาร!M250"")"),86520)</f>
        <v>86520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IFERROR(__xludf.DUMMYFUNCTION("IMPORTRANGE(""https://docs.google.com/spreadsheets/d/1XL5vhW3sbDhbH9Cz0tuDiY8C3ctxq1tqvaCgkFb8cCA/edit?usp=sharing"",""มุกดาหาร!M251"")"),0)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IFERROR(__xludf.DUMMYFUNCTION("IMPORTRANGE(""https://docs.google.com/spreadsheets/d/1XL5vhW3sbDhbH9Cz0tuDiY8C3ctxq1tqvaCgkFb8cCA/edit?usp=sharing"",""มุกดาหาร!M252"")"),64533)</f>
        <v>64533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IFERROR(__xludf.DUMMYFUNCTION("IMPORTRANGE(""https://docs.google.com/spreadsheets/d/1XL5vhW3sbDhbH9Cz0tuDiY8C3ctxq1tqvaCgkFb8cCA/edit?usp=sharing"",""มุกดาหาร!M253"")"),13940)</f>
        <v>13940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IFERROR(__xludf.DUMMYFUNCTION("IMPORTRANGE(""https://docs.google.com/spreadsheets/d/1XL5vhW3sbDhbH9Cz0tuDiY8C3ctxq1tqvaCgkFb8cCA/edit?usp=sharing"",""มุกดาหาร!J255"")"),0)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IFERROR(__xludf.DUMMYFUNCTION("IMPORTRANGE(""https://docs.google.com/spreadsheets/d/1XL5vhW3sbDhbH9Cz0tuDiY8C3ctxq1tqvaCgkFb8cCA/edit?usp=sharing"",""มุกดาหาร!J256"")"),1)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IFERROR(__xludf.DUMMYFUNCTION("IMPORTRANGE(""https://docs.google.com/spreadsheets/d/1XL5vhW3sbDhbH9Cz0tuDiY8C3ctxq1tqvaCgkFb8cCA/edit?usp=sharing"",""มุกดาหาร!J257"")"),1)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IFERROR(__xludf.DUMMYFUNCTION("IMPORTRANGE(""https://docs.google.com/spreadsheets/d/1XL5vhW3sbDhbH9Cz0tuDiY8C3ctxq1tqvaCgkFb8cCA/edit?usp=sharing"",""มุกดาหาร!J258"")"),1)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IFERROR(__xludf.DUMMYFUNCTION("IMPORTRANGE(""https://docs.google.com/spreadsheets/d/1XL5vhW3sbDhbH9Cz0tuDiY8C3ctxq1tqvaCgkFb8cCA/edit?usp=sharing"",""มุกดาหาร!J166"")"),0)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IFERROR(__xludf.DUMMYFUNCTION("IMPORTRANGE(""https://docs.google.com/spreadsheets/d/1XL5vhW3sbDhbH9Cz0tuDiY8C3ctxq1tqvaCgkFb8cCA/edit?usp=sharing"",""มุกดาหาร!J166"")"),0)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IFERROR(__xludf.DUMMYFUNCTION("IMPORTRANGE(""https://docs.google.com/spreadsheets/d/1XL5vhW3sbDhbH9Cz0tuDiY8C3ctxq1tqvaCgkFb8cCA/edit?usp=sharing"",""มุกดาหาร!J166"")"),0)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IFERROR(__xludf.DUMMYFUNCTION("IMPORTRANGE(""https://docs.google.com/spreadsheets/d/1XL5vhW3sbDhbH9Cz0tuDiY8C3ctxq1tqvaCgkFb8cCA/edit?usp=sharing"",""มุกดาหาร!J166"")"),0)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IFERROR(__xludf.DUMMYFUNCTION("IMPORTRANGE(""https://docs.google.com/spreadsheets/d/1XL5vhW3sbDhbH9Cz0tuDiY8C3ctxq1tqvaCgkFb8cCA/edit?usp=sharing"",""มุกดาหาร!I263"")"),65)</f>
        <v>65</v>
      </c>
      <c r="J368" s="188">
        <f ca="1">IFERROR(__xludf.DUMMYFUNCTION("IMPORTRANGE(""https://docs.google.com/spreadsheets/d/1XL5vhW3sbDhbH9Cz0tuDiY8C3ctxq1tqvaCgkFb8cCA/edit?usp=sharing"",""มุกดาหาร!J263"")"),65)</f>
        <v>65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IFERROR(__xludf.DUMMYFUNCTION("IMPORTRANGE(""https://docs.google.com/spreadsheets/d/1XL5vhW3sbDhbH9Cz0tuDiY8C3ctxq1tqvaCgkFb8cCA/edit?usp=sharing"",""มุกดาหาร!I164"")"),0)</f>
        <v>0</v>
      </c>
      <c r="J369" s="204">
        <f ca="1">IFERROR(__xludf.DUMMYFUNCTION("IMPORTRANGE(""https://docs.google.com/spreadsheets/d/1XL5vhW3sbDhbH9Cz0tuDiY8C3ctxq1tqvaCgkFb8cCA/edit?usp=sharing"",""มุกดาหาร!J164"")"),0)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293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IFERROR(__xludf.DUMMYFUNCTION("IMPORTRANGE(""https://docs.google.com/spreadsheets/d/1XL5vhW3sbDhbH9Cz0tuDiY8C3ctxq1tqvaCgkFb8cCA/edit?usp=sharing"",""มุกดาหาร!I265"")"),65)</f>
        <v>65</v>
      </c>
      <c r="J370" s="204">
        <f ca="1">IFERROR(__xludf.DUMMYFUNCTION("IMPORTRANGE(""https://docs.google.com/spreadsheets/d/1XL5vhW3sbDhbH9Cz0tuDiY8C3ctxq1tqvaCgkFb8cCA/edit?usp=sharing"",""มุกดาหาร!J265"")"),65)</f>
        <v>65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IFERROR(__xludf.DUMMYFUNCTION("IMPORTRANGE(""https://docs.google.com/spreadsheets/d/1XL5vhW3sbDhbH9Cz0tuDiY8C3ctxq1tqvaCgkFb8cCA/edit?usp=sharing"",""มุกดาหาร!I164"")"),0)</f>
        <v>0</v>
      </c>
      <c r="J371" s="189">
        <f ca="1">IFERROR(__xludf.DUMMYFUNCTION("IMPORTRANGE(""https://docs.google.com/spreadsheets/d/1XL5vhW3sbDhbH9Cz0tuDiY8C3ctxq1tqvaCgkFb8cCA/edit?usp=sharing"",""มุกดาหาร!J164"")"),0)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293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IFERROR(__xludf.DUMMYFUNCTION("IMPORTRANGE(""https://docs.google.com/spreadsheets/d/1XL5vhW3sbDhbH9Cz0tuDiY8C3ctxq1tqvaCgkFb8cCA/edit?usp=sharing"",""มุกดาหาร!I267"")"),65)</f>
        <v>65</v>
      </c>
      <c r="J372" s="189">
        <f ca="1">IFERROR(__xludf.DUMMYFUNCTION("IMPORTRANGE(""https://docs.google.com/spreadsheets/d/1XL5vhW3sbDhbH9Cz0tuDiY8C3ctxq1tqvaCgkFb8cCA/edit?usp=sharing"",""มุกดาหาร!J267"")"),65)</f>
        <v>65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IFERROR(__xludf.DUMMYFUNCTION("IMPORTRANGE(""https://docs.google.com/spreadsheets/d/1XL5vhW3sbDhbH9Cz0tuDiY8C3ctxq1tqvaCgkFb8cCA/edit?usp=sharing"",""มุกดาหาร!I164"")"),0)</f>
        <v>0</v>
      </c>
      <c r="J373" s="204">
        <f ca="1">IFERROR(__xludf.DUMMYFUNCTION("IMPORTRANGE(""https://docs.google.com/spreadsheets/d/1XL5vhW3sbDhbH9Cz0tuDiY8C3ctxq1tqvaCgkFb8cCA/edit?usp=sharing"",""มุกดาหาร!J164"")"),0)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IFERROR(__xludf.DUMMYFUNCTION("IMPORTRANGE(""https://docs.google.com/spreadsheets/d/1XL5vhW3sbDhbH9Cz0tuDiY8C3ctxq1tqvaCgkFb8cCA/edit?usp=sharing"",""มุกดาหาร!I164"")"),0)</f>
        <v>0</v>
      </c>
      <c r="J374" s="188">
        <f ca="1">IFERROR(__xludf.DUMMYFUNCTION("IMPORTRANGE(""https://docs.google.com/spreadsheets/d/1XL5vhW3sbDhbH9Cz0tuDiY8C3ctxq1tqvaCgkFb8cCA/edit?usp=sharing"",""มุกดาหาร!J164"")"),0)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IFERROR(__xludf.DUMMYFUNCTION("IMPORTRANGE(""https://docs.google.com/spreadsheets/d/1XL5vhW3sbDhbH9Cz0tuDiY8C3ctxq1tqvaCgkFb8cCA/edit?usp=sharing"",""มุกดาหาร!I270"")"),190)</f>
        <v>190</v>
      </c>
      <c r="J375" s="188">
        <f ca="1">IFERROR(__xludf.DUMMYFUNCTION("IMPORTRANGE(""https://docs.google.com/spreadsheets/d/1XL5vhW3sbDhbH9Cz0tuDiY8C3ctxq1tqvaCgkFb8cCA/edit?usp=sharing"",""มุกดาหาร!J270"")"),0)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IFERROR(__xludf.DUMMYFUNCTION("IMPORTRANGE(""https://docs.google.com/spreadsheets/d/1XL5vhW3sbDhbH9Cz0tuDiY8C3ctxq1tqvaCgkFb8cCA/edit?usp=sharing"",""มุกดาหาร!I271"")"),100)</f>
        <v>100</v>
      </c>
      <c r="J376" s="189">
        <f ca="1">IFERROR(__xludf.DUMMYFUNCTION("IMPORTRANGE(""https://docs.google.com/spreadsheets/d/1XL5vhW3sbDhbH9Cz0tuDiY8C3ctxq1tqvaCgkFb8cCA/edit?usp=sharing"",""มุกดาหาร!J271"")"),0)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IFERROR(__xludf.DUMMYFUNCTION("IMPORTRANGE(""https://docs.google.com/spreadsheets/d/1XL5vhW3sbDhbH9Cz0tuDiY8C3ctxq1tqvaCgkFb8cCA/edit?usp=sharing"",""มุกดาหาร!I272"")"),90)</f>
        <v>90</v>
      </c>
      <c r="J377" s="204">
        <f ca="1">IFERROR(__xludf.DUMMYFUNCTION("IMPORTRANGE(""https://docs.google.com/spreadsheets/d/1XL5vhW3sbDhbH9Cz0tuDiY8C3ctxq1tqvaCgkFb8cCA/edit?usp=sharing"",""มุกดาหาร!J272"")"),0)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IFERROR(__xludf.DUMMYFUNCTION("IMPORTRANGE(""https://docs.google.com/spreadsheets/d/1XL5vhW3sbDhbH9Cz0tuDiY8C3ctxq1tqvaCgkFb8cCA/edit?usp=sharing"",""มุกดาหาร!J273"")"),0)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IFERROR(__xludf.DUMMYFUNCTION("IMPORTRANGE(""https://docs.google.com/spreadsheets/d/1XL5vhW3sbDhbH9Cz0tuDiY8C3ctxq1tqvaCgkFb8cCA/edit?usp=sharing"",""มุกดาหาร!J274"")"),0)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IFERROR(__xludf.DUMMYFUNCTION("IMPORTRANGE(""https://docs.google.com/spreadsheets/d/1XL5vhW3sbDhbH9Cz0tuDiY8C3ctxq1tqvaCgkFb8cCA/edit?usp=sharing"",""มุกดาหาร!I275"")"),1000)</f>
        <v>1000</v>
      </c>
      <c r="J380" s="371">
        <f ca="1">IFERROR(__xludf.DUMMYFUNCTION("IMPORTRANGE(""https://docs.google.com/spreadsheets/d/1XL5vhW3sbDhbH9Cz0tuDiY8C3ctxq1tqvaCgkFb8cCA/edit?usp=sharing"",""มุกดาหาร!J275"")"),0)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IFERROR(__xludf.DUMMYFUNCTION("IMPORTRANGE(""https://docs.google.com/spreadsheets/d/1XL5vhW3sbDhbH9Cz0tuDiY8C3ctxq1tqvaCgkFb8cCA/edit?usp=sharing"",""มุกดาหาร!L275"")"),1028520)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IFERROR(__xludf.DUMMYFUNCTION("IMPORTRANGE(""https://docs.google.com/spreadsheets/d/1XL5vhW3sbDhbH9Cz0tuDiY8C3ctxq1tqvaCgkFb8cCA/edit?usp=sharing"",""มุกดาหาร!M275"")"),252183)</f>
        <v>252183</v>
      </c>
      <c r="O380" s="373">
        <f ca="1">+IF(L380&gt;0,N380*100/L380,0)</f>
        <v>24.519017617547544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IFERROR(__xludf.DUMMYFUNCTION("IMPORTRANGE(""https://docs.google.com/spreadsheets/d/1XL5vhW3sbDhbH9Cz0tuDiY8C3ctxq1tqvaCgkFb8cCA/edit?usp=sharing"",""มุกดาหาร!I276"")"),100)</f>
        <v>100</v>
      </c>
      <c r="J381" s="371">
        <f ca="1">IFERROR(__xludf.DUMMYFUNCTION("IMPORTRANGE(""https://docs.google.com/spreadsheets/d/1XL5vhW3sbDhbH9Cz0tuDiY8C3ctxq1tqvaCgkFb8cCA/edit?usp=sharing"",""มุกดาหาร!J276"")"),100)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IFERROR(__xludf.DUMMYFUNCTION("IMPORTRANGE(""https://docs.google.com/spreadsheets/d/1XL5vhW3sbDhbH9Cz0tuDiY8C3ctxq1tqvaCgkFb8cCA/edit?usp=sharing"",""มุกดาหาร!L277"")"),0)</f>
        <v>0</v>
      </c>
      <c r="M382" s="164"/>
      <c r="N382" s="164">
        <f ca="1">IFERROR(__xludf.DUMMYFUNCTION("IMPORTRANGE(""https://docs.google.com/spreadsheets/d/1XL5vhW3sbDhbH9Cz0tuDiY8C3ctxq1tqvaCgkFb8cCA/edit?usp=sharing"",""มุกดาหาร!M277"")"),0)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IFERROR(__xludf.DUMMYFUNCTION("IMPORTRANGE(""https://docs.google.com/spreadsheets/d/1XL5vhW3sbDhbH9Cz0tuDiY8C3ctxq1tqvaCgkFb8cCA/edit?usp=sharing"",""มุกดาหาร!L278"")"),1028520)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IFERROR(__xludf.DUMMYFUNCTION("IMPORTRANGE(""https://docs.google.com/spreadsheets/d/1XL5vhW3sbDhbH9Cz0tuDiY8C3ctxq1tqvaCgkFb8cCA/edit?usp=sharing"",""มุกดาหาร!M278"")"),252183)</f>
        <v>252183</v>
      </c>
      <c r="O383" s="165">
        <f t="shared" ca="1" si="109"/>
        <v>24.519017617547544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IFERROR(__xludf.DUMMYFUNCTION("IMPORTRANGE(""https://docs.google.com/spreadsheets/d/1XL5vhW3sbDhbH9Cz0tuDiY8C3ctxq1tqvaCgkFb8cCA/edit?usp=sharing"",""มุกดาหาร!L279"")"),0)</f>
        <v>0</v>
      </c>
      <c r="M384" s="169"/>
      <c r="N384" s="169">
        <f ca="1">IFERROR(__xludf.DUMMYFUNCTION("IMPORTRANGE(""https://docs.google.com/spreadsheets/d/1XL5vhW3sbDhbH9Cz0tuDiY8C3ctxq1tqvaCgkFb8cCA/edit?usp=sharing"",""มุกดาหาร!M279"")"),0)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IFERROR(__xludf.DUMMYFUNCTION("IMPORTRANGE(""https://docs.google.com/spreadsheets/d/1XL5vhW3sbDhbH9Cz0tuDiY8C3ctxq1tqvaCgkFb8cCA/edit?usp=sharing"",""มุกดาหาร!L280"")"),1028520)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IFERROR(__xludf.DUMMYFUNCTION("IMPORTRANGE(""https://docs.google.com/spreadsheets/d/1XL5vhW3sbDhbH9Cz0tuDiY8C3ctxq1tqvaCgkFb8cCA/edit?usp=sharing"",""มุกดาหาร!M280"")"),252183)</f>
        <v>252183</v>
      </c>
      <c r="O385" s="169">
        <f t="shared" ca="1" si="109"/>
        <v>24.519017617547544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IFERROR(__xludf.DUMMYFUNCTION("IMPORTRANGE(""https://docs.google.com/spreadsheets/d/1XL5vhW3sbDhbH9Cz0tuDiY8C3ctxq1tqvaCgkFb8cCA/edit?usp=sharing"",""มุกดาหาร!M281"")"),169630)</f>
        <v>169630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IFERROR(__xludf.DUMMYFUNCTION("IMPORTRANGE(""https://docs.google.com/spreadsheets/d/1XL5vhW3sbDhbH9Cz0tuDiY8C3ctxq1tqvaCgkFb8cCA/edit?usp=sharing"",""มุกดาหาร!M282"")"),0)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IFERROR(__xludf.DUMMYFUNCTION("IMPORTRANGE(""https://docs.google.com/spreadsheets/d/1XL5vhW3sbDhbH9Cz0tuDiY8C3ctxq1tqvaCgkFb8cCA/edit?usp=sharing"",""มุกดาหาร!M283"")"),64533)</f>
        <v>64533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IFERROR(__xludf.DUMMYFUNCTION("IMPORTRANGE(""https://docs.google.com/spreadsheets/d/1XL5vhW3sbDhbH9Cz0tuDiY8C3ctxq1tqvaCgkFb8cCA/edit?usp=sharing"",""มุกดาหาร!M284"")"),18020)</f>
        <v>18020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IFERROR(__xludf.DUMMYFUNCTION("IMPORTRANGE(""https://docs.google.com/spreadsheets/d/1XL5vhW3sbDhbH9Cz0tuDiY8C3ctxq1tqvaCgkFb8cCA/edit?usp=sharing"",""มุกดาหาร!J286"")"),0)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IFERROR(__xludf.DUMMYFUNCTION("IMPORTRANGE(""https://docs.google.com/spreadsheets/d/1XL5vhW3sbDhbH9Cz0tuDiY8C3ctxq1tqvaCgkFb8cCA/edit?usp=sharing"",""มุกดาหาร!J287"")"),1)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IFERROR(__xludf.DUMMYFUNCTION("IMPORTRANGE(""https://docs.google.com/spreadsheets/d/1XL5vhW3sbDhbH9Cz0tuDiY8C3ctxq1tqvaCgkFb8cCA/edit?usp=sharing"",""มุกดาหาร!J288"")"),1)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IFERROR(__xludf.DUMMYFUNCTION("IMPORTRANGE(""https://docs.google.com/spreadsheets/d/1XL5vhW3sbDhbH9Cz0tuDiY8C3ctxq1tqvaCgkFb8cCA/edit?usp=sharing"",""มุกดาหาร!J289"")"),1)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IFERROR(__xludf.DUMMYFUNCTION("IMPORTRANGE(""https://docs.google.com/spreadsheets/d/1XL5vhW3sbDhbH9Cz0tuDiY8C3ctxq1tqvaCgkFb8cCA/edit?usp=sharing"",""มุกดาหาร!I291"")"),100)</f>
        <v>100</v>
      </c>
      <c r="J396" s="198">
        <f ca="1">IFERROR(__xludf.DUMMYFUNCTION("IMPORTRANGE(""https://docs.google.com/spreadsheets/d/1XL5vhW3sbDhbH9Cz0tuDiY8C3ctxq1tqvaCgkFb8cCA/edit?usp=sharing"",""มุกดาหาร!J291"")"),100)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IFERROR(__xludf.DUMMYFUNCTION("IMPORTRANGE(""https://docs.google.com/spreadsheets/d/1XL5vhW3sbDhbH9Cz0tuDiY8C3ctxq1tqvaCgkFb8cCA/edit?usp=sharing"",""มุกดาหาร!I292"")"),1000)</f>
        <v>1000</v>
      </c>
      <c r="J397" s="198">
        <f ca="1">IFERROR(__xludf.DUMMYFUNCTION("IMPORTRANGE(""https://docs.google.com/spreadsheets/d/1XL5vhW3sbDhbH9Cz0tuDiY8C3ctxq1tqvaCgkFb8cCA/edit?usp=sharing"",""มุกดาหาร!J292"")"),0)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IFERROR(__xludf.DUMMYFUNCTION("IMPORTRANGE(""https://docs.google.com/spreadsheets/d/1XL5vhW3sbDhbH9Cz0tuDiY8C3ctxq1tqvaCgkFb8cCA/edit?usp=sharing"",""มุกดาหาร!I293"")"),100)</f>
        <v>100</v>
      </c>
      <c r="J398" s="198">
        <f ca="1">IFERROR(__xludf.DUMMYFUNCTION("IMPORTRANGE(""https://docs.google.com/spreadsheets/d/1XL5vhW3sbDhbH9Cz0tuDiY8C3ctxq1tqvaCgkFb8cCA/edit?usp=sharing"",""มุกดาหาร!J293"")"),0)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IFERROR(__xludf.DUMMYFUNCTION("IMPORTRANGE(""https://docs.google.com/spreadsheets/d/1XL5vhW3sbDhbH9Cz0tuDiY8C3ctxq1tqvaCgkFb8cCA/edit?usp=sharing"",""มุกดาหาร!J294"")"),0)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IFERROR(__xludf.DUMMYFUNCTION("IMPORTRANGE(""https://docs.google.com/spreadsheets/d/1XL5vhW3sbDhbH9Cz0tuDiY8C3ctxq1tqvaCgkFb8cCA/edit?usp=sharing"",""มุกดาหาร!J295"")"),0)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IFERROR(__xludf.DUMMYFUNCTION("IMPORTRANGE(""https://docs.google.com/spreadsheets/d/1XL5vhW3sbDhbH9Cz0tuDiY8C3ctxq1tqvaCgkFb8cCA/edit?usp=sharing"",""มุกดาหาร!I296"")"),135)</f>
        <v>135</v>
      </c>
      <c r="J401" s="371">
        <f ca="1">IFERROR(__xludf.DUMMYFUNCTION("IMPORTRANGE(""https://docs.google.com/spreadsheets/d/1XL5vhW3sbDhbH9Cz0tuDiY8C3ctxq1tqvaCgkFb8cCA/edit?usp=sharing"",""มุกดาหาร!J296"")"),135)</f>
        <v>135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IFERROR(__xludf.DUMMYFUNCTION("IMPORTRANGE(""https://docs.google.com/spreadsheets/d/1XL5vhW3sbDhbH9Cz0tuDiY8C3ctxq1tqvaCgkFb8cCA/edit?usp=sharing"",""มุกดาหาร!L296"")"),159950)</f>
        <v>159950</v>
      </c>
      <c r="M401" s="373"/>
      <c r="N401" s="373">
        <f ca="1">IFERROR(__xludf.DUMMYFUNCTION("IMPORTRANGE(""https://docs.google.com/spreadsheets/d/1XL5vhW3sbDhbH9Cz0tuDiY8C3ctxq1tqvaCgkFb8cCA/edit?usp=sharing"",""มุกดาหาร!M296"")"),35833)</f>
        <v>35833</v>
      </c>
      <c r="O401" s="373">
        <f ca="1">+IF(L401&gt;0,N401*100/L401,0)</f>
        <v>22.402625820568929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IFERROR(__xludf.DUMMYFUNCTION("IMPORTRANGE(""https://docs.google.com/spreadsheets/d/1XL5vhW3sbDhbH9Cz0tuDiY8C3ctxq1tqvaCgkFb8cCA/edit?usp=sharing"",""มุกดาหาร!I297"")"),45)</f>
        <v>45</v>
      </c>
      <c r="J402" s="371">
        <f ca="1">IFERROR(__xludf.DUMMYFUNCTION("IMPORTRANGE(""https://docs.google.com/spreadsheets/d/1XL5vhW3sbDhbH9Cz0tuDiY8C3ctxq1tqvaCgkFb8cCA/edit?usp=sharing"",""มุกดาหาร!J297"")"),45)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IFERROR(__xludf.DUMMYFUNCTION("IMPORTRANGE(""https://docs.google.com/spreadsheets/d/1XL5vhW3sbDhbH9Cz0tuDiY8C3ctxq1tqvaCgkFb8cCA/edit?usp=sharing"",""มุกดาหาร!L298"")"),0)</f>
        <v>0</v>
      </c>
      <c r="M403" s="164"/>
      <c r="N403" s="169">
        <f ca="1">IFERROR(__xludf.DUMMYFUNCTION("IMPORTRANGE(""https://docs.google.com/spreadsheets/d/1XL5vhW3sbDhbH9Cz0tuDiY8C3ctxq1tqvaCgkFb8cCA/edit?usp=sharing"",""มุกดาหาร!M298"")"),0)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IFERROR(__xludf.DUMMYFUNCTION("IMPORTRANGE(""https://docs.google.com/spreadsheets/d/1XL5vhW3sbDhbH9Cz0tuDiY8C3ctxq1tqvaCgkFb8cCA/edit?usp=sharing"",""มุกดาหาร!L299"")"),159950)</f>
        <v>159950</v>
      </c>
      <c r="M404" s="165"/>
      <c r="N404" s="169">
        <f ca="1">IFERROR(__xludf.DUMMYFUNCTION("IMPORTRANGE(""https://docs.google.com/spreadsheets/d/1XL5vhW3sbDhbH9Cz0tuDiY8C3ctxq1tqvaCgkFb8cCA/edit?usp=sharing"",""มุกดาหาร!M299"")"),35833)</f>
        <v>35833</v>
      </c>
      <c r="O404" s="169">
        <f t="shared" ca="1" si="112"/>
        <v>22.402625820568929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IFERROR(__xludf.DUMMYFUNCTION("IMPORTRANGE(""https://docs.google.com/spreadsheets/d/1XL5vhW3sbDhbH9Cz0tuDiY8C3ctxq1tqvaCgkFb8cCA/edit?usp=sharing"",""มุกดาหาร!L300"")"),0)</f>
        <v>0</v>
      </c>
      <c r="M405" s="169"/>
      <c r="N405" s="169">
        <f ca="1">IFERROR(__xludf.DUMMYFUNCTION("IMPORTRANGE(""https://docs.google.com/spreadsheets/d/1XL5vhW3sbDhbH9Cz0tuDiY8C3ctxq1tqvaCgkFb8cCA/edit?usp=sharing"",""มุกดาหาร!M300"")"),0)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IFERROR(__xludf.DUMMYFUNCTION("IMPORTRANGE(""https://docs.google.com/spreadsheets/d/1XL5vhW3sbDhbH9Cz0tuDiY8C3ctxq1tqvaCgkFb8cCA/edit?usp=sharing"",""มุกดาหาร!L301"")"),159950)</f>
        <v>159950</v>
      </c>
      <c r="M406" s="169"/>
      <c r="N406" s="169">
        <f ca="1">IFERROR(__xludf.DUMMYFUNCTION("IMPORTRANGE(""https://docs.google.com/spreadsheets/d/1XL5vhW3sbDhbH9Cz0tuDiY8C3ctxq1tqvaCgkFb8cCA/edit?usp=sharing"",""มุกดาหาร!M301"")"),35833)</f>
        <v>35833</v>
      </c>
      <c r="O406" s="169">
        <f t="shared" ca="1" si="112"/>
        <v>22.402625820568929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IFERROR(__xludf.DUMMYFUNCTION("IMPORTRANGE(""https://docs.google.com/spreadsheets/d/1XL5vhW3sbDhbH9Cz0tuDiY8C3ctxq1tqvaCgkFb8cCA/edit?usp=sharing"",""มุกดาหาร!M302"")"),35833)</f>
        <v>35833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IFERROR(__xludf.DUMMYFUNCTION("IMPORTRANGE(""https://docs.google.com/spreadsheets/d/1XL5vhW3sbDhbH9Cz0tuDiY8C3ctxq1tqvaCgkFb8cCA/edit?usp=sharing"",""มุกดาหาร!M303"")"),0)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IFERROR(__xludf.DUMMYFUNCTION("IMPORTRANGE(""https://docs.google.com/spreadsheets/d/1XL5vhW3sbDhbH9Cz0tuDiY8C3ctxq1tqvaCgkFb8cCA/edit?usp=sharing"",""มุกดาหาร!M304"")"),0)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IFERROR(__xludf.DUMMYFUNCTION("IMPORTRANGE(""https://docs.google.com/spreadsheets/d/1XL5vhW3sbDhbH9Cz0tuDiY8C3ctxq1tqvaCgkFb8cCA/edit?usp=sharing"",""มุกดาหาร!M305"")"),0)</f>
        <v>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IFERROR(__xludf.DUMMYFUNCTION("IMPORTRANGE(""https://docs.google.com/spreadsheets/d/1XL5vhW3sbDhbH9Cz0tuDiY8C3ctxq1tqvaCgkFb8cCA/edit?usp=sharing"",""มุกดาหาร!J307"")"),0)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IFERROR(__xludf.DUMMYFUNCTION("IMPORTRANGE(""https://docs.google.com/spreadsheets/d/1XL5vhW3sbDhbH9Cz0tuDiY8C3ctxq1tqvaCgkFb8cCA/edit?usp=sharing"",""มุกดาหาร!J308"")"),1)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IFERROR(__xludf.DUMMYFUNCTION("IMPORTRANGE(""https://docs.google.com/spreadsheets/d/1XL5vhW3sbDhbH9Cz0tuDiY8C3ctxq1tqvaCgkFb8cCA/edit?usp=sharing"",""มุกดาหาร!J309"")"),1)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IFERROR(__xludf.DUMMYFUNCTION("IMPORTRANGE(""https://docs.google.com/spreadsheets/d/1XL5vhW3sbDhbH9Cz0tuDiY8C3ctxq1tqvaCgkFb8cCA/edit?usp=sharing"",""มุกดาหาร!J310"")"),1)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IFERROR(__xludf.DUMMYFUNCTION("IMPORTRANGE(""https://docs.google.com/spreadsheets/d/1XL5vhW3sbDhbH9Cz0tuDiY8C3ctxq1tqvaCgkFb8cCA/edit?usp=sharing"",""มุกดาหาร!I311"")"),45)</f>
        <v>45</v>
      </c>
      <c r="J416" s="201">
        <f ca="1">IFERROR(__xludf.DUMMYFUNCTION("IMPORTRANGE(""https://docs.google.com/spreadsheets/d/1XL5vhW3sbDhbH9Cz0tuDiY8C3ctxq1tqvaCgkFb8cCA/edit?usp=sharing"",""มุกดาหาร!J311"")"),45)</f>
        <v>45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IFERROR(__xludf.DUMMYFUNCTION("IMPORTRANGE(""https://docs.google.com/spreadsheets/d/1XL5vhW3sbDhbH9Cz0tuDiY8C3ctxq1tqvaCgkFb8cCA/edit?usp=sharing"",""มุกดาหาร!I312"")"),10)</f>
        <v>10</v>
      </c>
      <c r="J417" s="392">
        <f ca="1">IFERROR(__xludf.DUMMYFUNCTION("IMPORTRANGE(""https://docs.google.com/spreadsheets/d/1XL5vhW3sbDhbH9Cz0tuDiY8C3ctxq1tqvaCgkFb8cCA/edit?usp=sharing"",""มุกดาหาร!J312"")"),10)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IFERROR(__xludf.DUMMYFUNCTION("IMPORTRANGE(""https://docs.google.com/spreadsheets/d/1XL5vhW3sbDhbH9Cz0tuDiY8C3ctxq1tqvaCgkFb8cCA/edit?usp=sharing"",""มุกดาหาร!I313"")"),30)</f>
        <v>30</v>
      </c>
      <c r="J418" s="393">
        <f ca="1">IFERROR(__xludf.DUMMYFUNCTION("IMPORTRANGE(""https://docs.google.com/spreadsheets/d/1XL5vhW3sbDhbH9Cz0tuDiY8C3ctxq1tqvaCgkFb8cCA/edit?usp=sharing"",""มุกดาหาร!J313"")"),30)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IFERROR(__xludf.DUMMYFUNCTION("IMPORTRANGE(""https://docs.google.com/spreadsheets/d/1XL5vhW3sbDhbH9Cz0tuDiY8C3ctxq1tqvaCgkFb8cCA/edit?usp=sharing"",""มุกดาหาร!I314"")"),10)</f>
        <v>10</v>
      </c>
      <c r="J419" s="394">
        <f ca="1">IFERROR(__xludf.DUMMYFUNCTION("IMPORTRANGE(""https://docs.google.com/spreadsheets/d/1XL5vhW3sbDhbH9Cz0tuDiY8C3ctxq1tqvaCgkFb8cCA/edit?usp=sharing"",""มุกดาหาร!J314"")"),10)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IFERROR(__xludf.DUMMYFUNCTION("IMPORTRANGE(""https://docs.google.com/spreadsheets/d/1XL5vhW3sbDhbH9Cz0tuDiY8C3ctxq1tqvaCgkFb8cCA/edit?usp=sharing"",""มุกดาหาร!I315"")"),10)</f>
        <v>10</v>
      </c>
      <c r="J420" s="394">
        <f ca="1">IFERROR(__xludf.DUMMYFUNCTION("IMPORTRANGE(""https://docs.google.com/spreadsheets/d/1XL5vhW3sbDhbH9Cz0tuDiY8C3ctxq1tqvaCgkFb8cCA/edit?usp=sharing"",""มุกดาหาร!J315"")"),10)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IFERROR(__xludf.DUMMYFUNCTION("IMPORTRANGE(""https://docs.google.com/spreadsheets/d/1XL5vhW3sbDhbH9Cz0tuDiY8C3ctxq1tqvaCgkFb8cCA/edit?usp=sharing"",""มุกดาหาร!I316"")"),25)</f>
        <v>25</v>
      </c>
      <c r="J421" s="392">
        <f ca="1">IFERROR(__xludf.DUMMYFUNCTION("IMPORTRANGE(""https://docs.google.com/spreadsheets/d/1XL5vhW3sbDhbH9Cz0tuDiY8C3ctxq1tqvaCgkFb8cCA/edit?usp=sharing"",""มุกดาหาร!J316"")"),25)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IFERROR(__xludf.DUMMYFUNCTION("IMPORTRANGE(""https://docs.google.com/spreadsheets/d/1XL5vhW3sbDhbH9Cz0tuDiY8C3ctxq1tqvaCgkFb8cCA/edit?usp=sharing"",""มุกดาหาร!I317"")"),75)</f>
        <v>75</v>
      </c>
      <c r="J422" s="393">
        <f ca="1">IFERROR(__xludf.DUMMYFUNCTION("IMPORTRANGE(""https://docs.google.com/spreadsheets/d/1XL5vhW3sbDhbH9Cz0tuDiY8C3ctxq1tqvaCgkFb8cCA/edit?usp=sharing"",""มุกดาหาร!J317"")"),75)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IFERROR(__xludf.DUMMYFUNCTION("IMPORTRANGE(""https://docs.google.com/spreadsheets/d/1XL5vhW3sbDhbH9Cz0tuDiY8C3ctxq1tqvaCgkFb8cCA/edit?usp=sharing"",""มุกดาหาร!I318"")"),25)</f>
        <v>25</v>
      </c>
      <c r="J423" s="394">
        <f ca="1">IFERROR(__xludf.DUMMYFUNCTION("IMPORTRANGE(""https://docs.google.com/spreadsheets/d/1XL5vhW3sbDhbH9Cz0tuDiY8C3ctxq1tqvaCgkFb8cCA/edit?usp=sharing"",""มุกดาหาร!J318"")"),25)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IFERROR(__xludf.DUMMYFUNCTION("IMPORTRANGE(""https://docs.google.com/spreadsheets/d/1XL5vhW3sbDhbH9Cz0tuDiY8C3ctxq1tqvaCgkFb8cCA/edit?usp=sharing"",""มุกดาหาร!I319"")"),25)</f>
        <v>25</v>
      </c>
      <c r="J424" s="394">
        <f ca="1">IFERROR(__xludf.DUMMYFUNCTION("IMPORTRANGE(""https://docs.google.com/spreadsheets/d/1XL5vhW3sbDhbH9Cz0tuDiY8C3ctxq1tqvaCgkFb8cCA/edit?usp=sharing"",""มุกดาหาร!J319"")"),25)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IFERROR(__xludf.DUMMYFUNCTION("IMPORTRANGE(""https://docs.google.com/spreadsheets/d/1XL5vhW3sbDhbH9Cz0tuDiY8C3ctxq1tqvaCgkFb8cCA/edit?usp=sharing"",""มุกดาหาร!I320"")"),25)</f>
        <v>25</v>
      </c>
      <c r="J425" s="394">
        <f ca="1">IFERROR(__xludf.DUMMYFUNCTION("IMPORTRANGE(""https://docs.google.com/spreadsheets/d/1XL5vhW3sbDhbH9Cz0tuDiY8C3ctxq1tqvaCgkFb8cCA/edit?usp=sharing"",""มุกดาหาร!J320"")"),25)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IFERROR(__xludf.DUMMYFUNCTION("IMPORTRANGE(""https://docs.google.com/spreadsheets/d/1XL5vhW3sbDhbH9Cz0tuDiY8C3ctxq1tqvaCgkFb8cCA/edit?usp=sharing"",""มุกดาหาร!I321"")"),10)</f>
        <v>10</v>
      </c>
      <c r="J426" s="392">
        <f ca="1">IFERROR(__xludf.DUMMYFUNCTION("IMPORTRANGE(""https://docs.google.com/spreadsheets/d/1XL5vhW3sbDhbH9Cz0tuDiY8C3ctxq1tqvaCgkFb8cCA/edit?usp=sharing"",""มุกดาหาร!J321"")"),10)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IFERROR(__xludf.DUMMYFUNCTION("IMPORTRANGE(""https://docs.google.com/spreadsheets/d/1XL5vhW3sbDhbH9Cz0tuDiY8C3ctxq1tqvaCgkFb8cCA/edit?usp=sharing"",""มุกดาหาร!I322"")"),30)</f>
        <v>30</v>
      </c>
      <c r="J427" s="393">
        <f ca="1">IFERROR(__xludf.DUMMYFUNCTION("IMPORTRANGE(""https://docs.google.com/spreadsheets/d/1XL5vhW3sbDhbH9Cz0tuDiY8C3ctxq1tqvaCgkFb8cCA/edit?usp=sharing"",""มุกดาหาร!J322"")"),30)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IFERROR(__xludf.DUMMYFUNCTION("IMPORTRANGE(""https://docs.google.com/spreadsheets/d/1XL5vhW3sbDhbH9Cz0tuDiY8C3ctxq1tqvaCgkFb8cCA/edit?usp=sharing"",""มุกดาหาร!I323"")"),10)</f>
        <v>10</v>
      </c>
      <c r="J428" s="394">
        <f ca="1">IFERROR(__xludf.DUMMYFUNCTION("IMPORTRANGE(""https://docs.google.com/spreadsheets/d/1XL5vhW3sbDhbH9Cz0tuDiY8C3ctxq1tqvaCgkFb8cCA/edit?usp=sharing"",""มุกดาหาร!J323"")"),10)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IFERROR(__xludf.DUMMYFUNCTION("IMPORTRANGE(""https://docs.google.com/spreadsheets/d/1XL5vhW3sbDhbH9Cz0tuDiY8C3ctxq1tqvaCgkFb8cCA/edit?usp=sharing"",""มุกดาหาร!I324"")"),10)</f>
        <v>10</v>
      </c>
      <c r="J429" s="394">
        <f ca="1">IFERROR(__xludf.DUMMYFUNCTION("IMPORTRANGE(""https://docs.google.com/spreadsheets/d/1XL5vhW3sbDhbH9Cz0tuDiY8C3ctxq1tqvaCgkFb8cCA/edit?usp=sharing"",""มุกดาหาร!J324"")"),10)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IFERROR(__xludf.DUMMYFUNCTION("IMPORTRANGE(""https://docs.google.com/spreadsheets/d/1XL5vhW3sbDhbH9Cz0tuDiY8C3ctxq1tqvaCgkFb8cCA/edit?usp=sharing"",""มุกดาหาร!I325"")"),35)</f>
        <v>35</v>
      </c>
      <c r="J430" s="392">
        <f ca="1">IFERROR(__xludf.DUMMYFUNCTION("IMPORTRANGE(""https://docs.google.com/spreadsheets/d/1XL5vhW3sbDhbH9Cz0tuDiY8C3ctxq1tqvaCgkFb8cCA/edit?usp=sharing"",""มุกดาหาร!J325"")"),0)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IFERROR(__xludf.DUMMYFUNCTION("IMPORTRANGE(""https://docs.google.com/spreadsheets/d/1XL5vhW3sbDhbH9Cz0tuDiY8C3ctxq1tqvaCgkFb8cCA/edit?usp=sharing"",""มุกดาหาร!I326"")"),10)</f>
        <v>10</v>
      </c>
      <c r="J431" s="394">
        <f ca="1">IFERROR(__xludf.DUMMYFUNCTION("IMPORTRANGE(""https://docs.google.com/spreadsheets/d/1XL5vhW3sbDhbH9Cz0tuDiY8C3ctxq1tqvaCgkFb8cCA/edit?usp=sharing"",""มุกดาหาร!J326"")"),0)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IFERROR(__xludf.DUMMYFUNCTION("IMPORTRANGE(""https://docs.google.com/spreadsheets/d/1XL5vhW3sbDhbH9Cz0tuDiY8C3ctxq1tqvaCgkFb8cCA/edit?usp=sharing"",""มุกดาหาร!I327"")"),25)</f>
        <v>25</v>
      </c>
      <c r="J432" s="394">
        <f ca="1">IFERROR(__xludf.DUMMYFUNCTION("IMPORTRANGE(""https://docs.google.com/spreadsheets/d/1XL5vhW3sbDhbH9Cz0tuDiY8C3ctxq1tqvaCgkFb8cCA/edit?usp=sharing"",""มุกดาหาร!J327"")"),0)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IFERROR(__xludf.DUMMYFUNCTION("IMPORTRANGE(""https://docs.google.com/spreadsheets/d/1XL5vhW3sbDhbH9Cz0tuDiY8C3ctxq1tqvaCgkFb8cCA/edit?usp=sharing"",""มุกดาหาร!J328"")"),0)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IFERROR(__xludf.DUMMYFUNCTION("IMPORTRANGE(""https://docs.google.com/spreadsheets/d/1XL5vhW3sbDhbH9Cz0tuDiY8C3ctxq1tqvaCgkFb8cCA/edit?usp=sharing"",""มุกดาหาร!J329"")"),0)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IFERROR(__xludf.DUMMYFUNCTION("IMPORTRANGE(""https://docs.google.com/spreadsheets/d/1XL5vhW3sbDhbH9Cz0tuDiY8C3ctxq1tqvaCgkFb8cCA/edit?usp=sharing"",""มุกดาหาร!I330"")"),30)</f>
        <v>30</v>
      </c>
      <c r="J435" s="410">
        <f ca="1">IFERROR(__xludf.DUMMYFUNCTION("IMPORTRANGE(""https://docs.google.com/spreadsheets/d/1XL5vhW3sbDhbH9Cz0tuDiY8C3ctxq1tqvaCgkFb8cCA/edit?usp=sharing"",""มุกดาหาร!J330"")"),30)</f>
        <v>30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IFERROR(__xludf.DUMMYFUNCTION("IMPORTRANGE(""https://docs.google.com/spreadsheets/d/1XL5vhW3sbDhbH9Cz0tuDiY8C3ctxq1tqvaCgkFb8cCA/edit?usp=sharing"",""มุกดาหาร!L330"")"),139000)</f>
        <v>139000</v>
      </c>
      <c r="M435" s="412"/>
      <c r="N435" s="412">
        <f ca="1">IFERROR(__xludf.DUMMYFUNCTION("IMPORTRANGE(""https://docs.google.com/spreadsheets/d/1XL5vhW3sbDhbH9Cz0tuDiY8C3ctxq1tqvaCgkFb8cCA/edit?usp=sharing"",""มุกดาหาร!M330"")"),97400)</f>
        <v>97400</v>
      </c>
      <c r="O435" s="412">
        <f t="shared" ref="O435:O439" ca="1" si="114">+IF(L435&gt;0,N435*100/L435,0)</f>
        <v>70.071942446043167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IFERROR(__xludf.DUMMYFUNCTION("IMPORTRANGE(""https://docs.google.com/spreadsheets/d/1XL5vhW3sbDhbH9Cz0tuDiY8C3ctxq1tqvaCgkFb8cCA/edit?usp=sharing"",""มุกดาหาร!L331"")"),0)</f>
        <v>0</v>
      </c>
      <c r="M436" s="164"/>
      <c r="N436" s="169">
        <f ca="1">IFERROR(__xludf.DUMMYFUNCTION("IMPORTRANGE(""https://docs.google.com/spreadsheets/d/1XL5vhW3sbDhbH9Cz0tuDiY8C3ctxq1tqvaCgkFb8cCA/edit?usp=sharing"",""มุกดาหาร!M331"")"),0)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IFERROR(__xludf.DUMMYFUNCTION("IMPORTRANGE(""https://docs.google.com/spreadsheets/d/1XL5vhW3sbDhbH9Cz0tuDiY8C3ctxq1tqvaCgkFb8cCA/edit?usp=sharing"",""มุกดาหาร!L332"")"),139000)</f>
        <v>139000</v>
      </c>
      <c r="M437" s="165"/>
      <c r="N437" s="169">
        <f ca="1">IFERROR(__xludf.DUMMYFUNCTION("IMPORTRANGE(""https://docs.google.com/spreadsheets/d/1XL5vhW3sbDhbH9Cz0tuDiY8C3ctxq1tqvaCgkFb8cCA/edit?usp=sharing"",""มุกดาหาร!M332"")"),97400)</f>
        <v>97400</v>
      </c>
      <c r="O437" s="169">
        <f t="shared" ca="1" si="114"/>
        <v>70.071942446043167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IFERROR(__xludf.DUMMYFUNCTION("IMPORTRANGE(""https://docs.google.com/spreadsheets/d/1XL5vhW3sbDhbH9Cz0tuDiY8C3ctxq1tqvaCgkFb8cCA/edit?usp=sharing"",""มุกดาหาร!L333"")"),0)</f>
        <v>0</v>
      </c>
      <c r="M438" s="169"/>
      <c r="N438" s="169">
        <f ca="1">IFERROR(__xludf.DUMMYFUNCTION("IMPORTRANGE(""https://docs.google.com/spreadsheets/d/1XL5vhW3sbDhbH9Cz0tuDiY8C3ctxq1tqvaCgkFb8cCA/edit?usp=sharing"",""มุกดาหาร!M333"")"),0)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IFERROR(__xludf.DUMMYFUNCTION("IMPORTRANGE(""https://docs.google.com/spreadsheets/d/1XL5vhW3sbDhbH9Cz0tuDiY8C3ctxq1tqvaCgkFb8cCA/edit?usp=sharing"",""มุกดาหาร!L334"")"),139000)</f>
        <v>139000</v>
      </c>
      <c r="M439" s="169"/>
      <c r="N439" s="169">
        <f ca="1">IFERROR(__xludf.DUMMYFUNCTION("IMPORTRANGE(""https://docs.google.com/spreadsheets/d/1XL5vhW3sbDhbH9Cz0tuDiY8C3ctxq1tqvaCgkFb8cCA/edit?usp=sharing"",""มุกดาหาร!M334"")"),97400)</f>
        <v>97400</v>
      </c>
      <c r="O439" s="169">
        <f t="shared" ca="1" si="114"/>
        <v>70.071942446043167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IFERROR(__xludf.DUMMYFUNCTION("IMPORTRANGE(""https://docs.google.com/spreadsheets/d/1XL5vhW3sbDhbH9Cz0tuDiY8C3ctxq1tqvaCgkFb8cCA/edit?usp=sharing"",""มุกดาหาร!M335"")"),60650)</f>
        <v>60650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IFERROR(__xludf.DUMMYFUNCTION("IMPORTRANGE(""https://docs.google.com/spreadsheets/d/1XL5vhW3sbDhbH9Cz0tuDiY8C3ctxq1tqvaCgkFb8cCA/edit?usp=sharing"",""มุกดาหาร!M336"")"),0)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IFERROR(__xludf.DUMMYFUNCTION("IMPORTRANGE(""https://docs.google.com/spreadsheets/d/1XL5vhW3sbDhbH9Cz0tuDiY8C3ctxq1tqvaCgkFb8cCA/edit?usp=sharing"",""มุกดาหาร!M337"")"),0)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IFERROR(__xludf.DUMMYFUNCTION("IMPORTRANGE(""https://docs.google.com/spreadsheets/d/1XL5vhW3sbDhbH9Cz0tuDiY8C3ctxq1tqvaCgkFb8cCA/edit?usp=sharing"",""มุกดาหาร!M338"")"),36750)</f>
        <v>36750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IFERROR(__xludf.DUMMYFUNCTION("IMPORTRANGE(""https://docs.google.com/spreadsheets/d/1XL5vhW3sbDhbH9Cz0tuDiY8C3ctxq1tqvaCgkFb8cCA/edit?usp=sharing"",""มุกดาหาร!J340"")"),0)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IFERROR(__xludf.DUMMYFUNCTION("IMPORTRANGE(""https://docs.google.com/spreadsheets/d/1XL5vhW3sbDhbH9Cz0tuDiY8C3ctxq1tqvaCgkFb8cCA/edit?usp=sharing"",""มุกดาหาร!J341"")"),1)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IFERROR(__xludf.DUMMYFUNCTION("IMPORTRANGE(""https://docs.google.com/spreadsheets/d/1XL5vhW3sbDhbH9Cz0tuDiY8C3ctxq1tqvaCgkFb8cCA/edit?usp=sharing"",""มุกดาหาร!J342"")"),1)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IFERROR(__xludf.DUMMYFUNCTION("IMPORTRANGE(""https://docs.google.com/spreadsheets/d/1XL5vhW3sbDhbH9Cz0tuDiY8C3ctxq1tqvaCgkFb8cCA/edit?usp=sharing"",""มุกดาหาร!J343"")"),1)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IFERROR(__xludf.DUMMYFUNCTION("IMPORTRANGE(""https://docs.google.com/spreadsheets/d/1XL5vhW3sbDhbH9Cz0tuDiY8C3ctxq1tqvaCgkFb8cCA/edit?usp=sharing"",""มุกดาหาร!I344"")"),30)</f>
        <v>30</v>
      </c>
      <c r="J449" s="201">
        <f ca="1">IFERROR(__xludf.DUMMYFUNCTION("IMPORTRANGE(""https://docs.google.com/spreadsheets/d/1XL5vhW3sbDhbH9Cz0tuDiY8C3ctxq1tqvaCgkFb8cCA/edit?usp=sharing"",""มุกดาหาร!J344"")"),30)</f>
        <v>30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IFERROR(__xludf.DUMMYFUNCTION("IMPORTRANGE(""https://docs.google.com/spreadsheets/d/1XL5vhW3sbDhbH9Cz0tuDiY8C3ctxq1tqvaCgkFb8cCA/edit?usp=sharing"",""มุกดาหาร!I345"")"),30)</f>
        <v>30</v>
      </c>
      <c r="J450" s="189">
        <f ca="1">IFERROR(__xludf.DUMMYFUNCTION("IMPORTRANGE(""https://docs.google.com/spreadsheets/d/1XL5vhW3sbDhbH9Cz0tuDiY8C3ctxq1tqvaCgkFb8cCA/edit?usp=sharing"",""มุกดาหาร!J345"")"),30)</f>
        <v>30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IFERROR(__xludf.DUMMYFUNCTION("IMPORTRANGE(""https://docs.google.com/spreadsheets/d/1XL5vhW3sbDhbH9Cz0tuDiY8C3ctxq1tqvaCgkFb8cCA/edit?usp=sharing"",""มุกดาหาร!I346"")"),0)</f>
        <v>0</v>
      </c>
      <c r="J451" s="188">
        <f ca="1">IFERROR(__xludf.DUMMYFUNCTION("IMPORTRANGE(""https://docs.google.com/spreadsheets/d/1XL5vhW3sbDhbH9Cz0tuDiY8C3ctxq1tqvaCgkFb8cCA/edit?usp=sharing"",""มุกดาหาร!J346"")"),0)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IFERROR(__xludf.DUMMYFUNCTION("IMPORTRANGE(""https://docs.google.com/spreadsheets/d/1XL5vhW3sbDhbH9Cz0tuDiY8C3ctxq1tqvaCgkFb8cCA/edit?usp=sharing"",""มุกดาหาร!I347"")"),0)</f>
        <v>0</v>
      </c>
      <c r="J452" s="188">
        <f ca="1">IFERROR(__xludf.DUMMYFUNCTION("IMPORTRANGE(""https://docs.google.com/spreadsheets/d/1XL5vhW3sbDhbH9Cz0tuDiY8C3ctxq1tqvaCgkFb8cCA/edit?usp=sharing"",""มุกดาหาร!J347"")"),0)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IFERROR(__xludf.DUMMYFUNCTION("IMPORTRANGE(""https://docs.google.com/spreadsheets/d/1XL5vhW3sbDhbH9Cz0tuDiY8C3ctxq1tqvaCgkFb8cCA/edit?usp=sharing"",""มุกดาหาร!J348"")"),0)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IFERROR(__xludf.DUMMYFUNCTION("IMPORTRANGE(""https://docs.google.com/spreadsheets/d/1XL5vhW3sbDhbH9Cz0tuDiY8C3ctxq1tqvaCgkFb8cCA/edit?usp=sharing"",""มุกดาหาร!J349"")"),0)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IFERROR(__xludf.DUMMYFUNCTION("IMPORTRANGE(""https://docs.google.com/spreadsheets/d/1XL5vhW3sbDhbH9Cz0tuDiY8C3ctxq1tqvaCgkFb8cCA/edit?usp=sharing"",""มุกดาหาร!I350"")"),38745)</f>
        <v>38745</v>
      </c>
      <c r="J455" s="371">
        <f ca="1">IFERROR(__xludf.DUMMYFUNCTION("IMPORTRANGE(""https://docs.google.com/spreadsheets/d/1XL5vhW3sbDhbH9Cz0tuDiY8C3ctxq1tqvaCgkFb8cCA/edit?usp=sharing"",""มุกดาหาร!J350"")"),0)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IFERROR(__xludf.DUMMYFUNCTION("IMPORTRANGE(""https://docs.google.com/spreadsheets/d/1XL5vhW3sbDhbH9Cz0tuDiY8C3ctxq1tqvaCgkFb8cCA/edit?usp=sharing"",""มุกดาหาร!L350"")"),447718)</f>
        <v>447718</v>
      </c>
      <c r="M455" s="373"/>
      <c r="N455" s="373">
        <f ca="1">IFERROR(__xludf.DUMMYFUNCTION("IMPORTRANGE(""https://docs.google.com/spreadsheets/d/1XL5vhW3sbDhbH9Cz0tuDiY8C3ctxq1tqvaCgkFb8cCA/edit?usp=sharing"",""มุกดาหาร!M350"")"),156369)</f>
        <v>156369</v>
      </c>
      <c r="O455" s="373">
        <f t="shared" ref="O455:O459" ca="1" si="116">+IF(L455&gt;0,N455*100/L455,0)</f>
        <v>34.925779173497602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IFERROR(__xludf.DUMMYFUNCTION("IMPORTRANGE(""https://docs.google.com/spreadsheets/d/1XL5vhW3sbDhbH9Cz0tuDiY8C3ctxq1tqvaCgkFb8cCA/edit?usp=sharing"",""มุกดาหาร!L351"")"),0)</f>
        <v>0</v>
      </c>
      <c r="M456" s="164"/>
      <c r="N456" s="169">
        <f ca="1">IFERROR(__xludf.DUMMYFUNCTION("IMPORTRANGE(""https://docs.google.com/spreadsheets/d/1XL5vhW3sbDhbH9Cz0tuDiY8C3ctxq1tqvaCgkFb8cCA/edit?usp=sharing"",""มุกดาหาร!M351"")"),0)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IFERROR(__xludf.DUMMYFUNCTION("IMPORTRANGE(""https://docs.google.com/spreadsheets/d/1XL5vhW3sbDhbH9Cz0tuDiY8C3ctxq1tqvaCgkFb8cCA/edit?usp=sharing"",""มุกดาหาร!L352"")"),447718)</f>
        <v>447718</v>
      </c>
      <c r="M457" s="165"/>
      <c r="N457" s="169">
        <f ca="1">IFERROR(__xludf.DUMMYFUNCTION("IMPORTRANGE(""https://docs.google.com/spreadsheets/d/1XL5vhW3sbDhbH9Cz0tuDiY8C3ctxq1tqvaCgkFb8cCA/edit?usp=sharing"",""มุกดาหาร!M352"")"),156369)</f>
        <v>156369</v>
      </c>
      <c r="O457" s="169">
        <f t="shared" ca="1" si="116"/>
        <v>34.925779173497602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IFERROR(__xludf.DUMMYFUNCTION("IMPORTRANGE(""https://docs.google.com/spreadsheets/d/1XL5vhW3sbDhbH9Cz0tuDiY8C3ctxq1tqvaCgkFb8cCA/edit?usp=sharing"",""มุกดาหาร!L353"")"),0)</f>
        <v>0</v>
      </c>
      <c r="M458" s="169"/>
      <c r="N458" s="169">
        <f ca="1">IFERROR(__xludf.DUMMYFUNCTION("IMPORTRANGE(""https://docs.google.com/spreadsheets/d/1XL5vhW3sbDhbH9Cz0tuDiY8C3ctxq1tqvaCgkFb8cCA/edit?usp=sharing"",""มุกดาหาร!M353"")"),0)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IFERROR(__xludf.DUMMYFUNCTION("IMPORTRANGE(""https://docs.google.com/spreadsheets/d/1XL5vhW3sbDhbH9Cz0tuDiY8C3ctxq1tqvaCgkFb8cCA/edit?usp=sharing"",""มุกดาหาร!L354"")"),447718)</f>
        <v>447718</v>
      </c>
      <c r="M459" s="169"/>
      <c r="N459" s="169">
        <f ca="1">IFERROR(__xludf.DUMMYFUNCTION("IMPORTRANGE(""https://docs.google.com/spreadsheets/d/1XL5vhW3sbDhbH9Cz0tuDiY8C3ctxq1tqvaCgkFb8cCA/edit?usp=sharing"",""มุกดาหาร!M354"")"),156369)</f>
        <v>156369</v>
      </c>
      <c r="O459" s="169">
        <f t="shared" ca="1" si="116"/>
        <v>34.925779173497602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IFERROR(__xludf.DUMMYFUNCTION("IMPORTRANGE(""https://docs.google.com/spreadsheets/d/1XL5vhW3sbDhbH9Cz0tuDiY8C3ctxq1tqvaCgkFb8cCA/edit?usp=sharing"",""มุกดาหาร!M355"")"),0)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IFERROR(__xludf.DUMMYFUNCTION("IMPORTRANGE(""https://docs.google.com/spreadsheets/d/1XL5vhW3sbDhbH9Cz0tuDiY8C3ctxq1tqvaCgkFb8cCA/edit?usp=sharing"",""มุกดาหาร!M356"")"),0)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IFERROR(__xludf.DUMMYFUNCTION("IMPORTRANGE(""https://docs.google.com/spreadsheets/d/1XL5vhW3sbDhbH9Cz0tuDiY8C3ctxq1tqvaCgkFb8cCA/edit?usp=sharing"",""มุกดาหาร!M357"")"),63800)</f>
        <v>63800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IFERROR(__xludf.DUMMYFUNCTION("IMPORTRANGE(""https://docs.google.com/spreadsheets/d/1XL5vhW3sbDhbH9Cz0tuDiY8C3ctxq1tqvaCgkFb8cCA/edit?usp=sharing"",""มุกดาหาร!M358"")"),92569)</f>
        <v>92569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IFERROR(__xludf.DUMMYFUNCTION("IMPORTRANGE(""https://docs.google.com/spreadsheets/d/1XL5vhW3sbDhbH9Cz0tuDiY8C3ctxq1tqvaCgkFb8cCA/edit?usp=sharing"",""มุกดาหาร!I359"")"),38745)</f>
        <v>38745</v>
      </c>
      <c r="J464" s="267">
        <f ca="1">IFERROR(__xludf.DUMMYFUNCTION("IMPORTRANGE(""https://docs.google.com/spreadsheets/d/1XL5vhW3sbDhbH9Cz0tuDiY8C3ctxq1tqvaCgkFb8cCA/edit?usp=sharing"",""มุกดาหาร!J359"")"),0)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IFERROR(__xludf.DUMMYFUNCTION("IMPORTRANGE(""https://docs.google.com/spreadsheets/d/1XL5vhW3sbDhbH9Cz0tuDiY8C3ctxq1tqvaCgkFb8cCA/edit?usp=sharing"",""มุกดาหาร!I360"")"),38745)</f>
        <v>38745</v>
      </c>
      <c r="J465" s="420">
        <f ca="1">IFERROR(__xludf.DUMMYFUNCTION("IMPORTRANGE(""https://docs.google.com/spreadsheets/d/1XL5vhW3sbDhbH9Cz0tuDiY8C3ctxq1tqvaCgkFb8cCA/edit?usp=sharing"",""มุกดาหาร!J360"")"),38745)</f>
        <v>38745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IFERROR(__xludf.DUMMYFUNCTION("IMPORTRANGE(""https://docs.google.com/spreadsheets/d/1XL5vhW3sbDhbH9Cz0tuDiY8C3ctxq1tqvaCgkFb8cCA/edit?usp=sharing"",""มุกดาหาร!I361"")"),4715)</f>
        <v>4715</v>
      </c>
      <c r="J466" s="420">
        <f ca="1">IFERROR(__xludf.DUMMYFUNCTION("IMPORTRANGE(""https://docs.google.com/spreadsheets/d/1XL5vhW3sbDhbH9Cz0tuDiY8C3ctxq1tqvaCgkFb8cCA/edit?usp=sharing"",""มุกดาหาร!J361"")"),4715)</f>
        <v>4715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IFERROR(__xludf.DUMMYFUNCTION("IMPORTRANGE(""https://docs.google.com/spreadsheets/d/1XL5vhW3sbDhbH9Cz0tuDiY8C3ctxq1tqvaCgkFb8cCA/edit?usp=sharing"",""มุกดาหาร!I362"")"),0)</f>
        <v>0</v>
      </c>
      <c r="J467" s="189">
        <f ca="1">IFERROR(__xludf.DUMMYFUNCTION("IMPORTRANGE(""https://docs.google.com/spreadsheets/d/1XL5vhW3sbDhbH9Cz0tuDiY8C3ctxq1tqvaCgkFb8cCA/edit?usp=sharing"",""มุกดาหาร!J362"")"),31673)</f>
        <v>31673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IFERROR(__xludf.DUMMYFUNCTION("IMPORTRANGE(""https://docs.google.com/spreadsheets/d/1XL5vhW3sbDhbH9Cz0tuDiY8C3ctxq1tqvaCgkFb8cCA/edit?usp=sharing"",""มุกดาหาร!I363"")"),0)</f>
        <v>0</v>
      </c>
      <c r="J468" s="189">
        <f ca="1">IFERROR(__xludf.DUMMYFUNCTION("IMPORTRANGE(""https://docs.google.com/spreadsheets/d/1XL5vhW3sbDhbH9Cz0tuDiY8C3ctxq1tqvaCgkFb8cCA/edit?usp=sharing"",""มุกดาหาร!J363"")"),4063)</f>
        <v>4063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IFERROR(__xludf.DUMMYFUNCTION("IMPORTRANGE(""https://docs.google.com/spreadsheets/d/1XL5vhW3sbDhbH9Cz0tuDiY8C3ctxq1tqvaCgkFb8cCA/edit?usp=sharing"",""มุกดาหาร!I364"")"),0)</f>
        <v>0</v>
      </c>
      <c r="J469" s="189">
        <f ca="1">IFERROR(__xludf.DUMMYFUNCTION("IMPORTRANGE(""https://docs.google.com/spreadsheets/d/1XL5vhW3sbDhbH9Cz0tuDiY8C3ctxq1tqvaCgkFb8cCA/edit?usp=sharing"",""มุกดาหาร!J364"")"),6062)</f>
        <v>6062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IFERROR(__xludf.DUMMYFUNCTION("IMPORTRANGE(""https://docs.google.com/spreadsheets/d/1XL5vhW3sbDhbH9Cz0tuDiY8C3ctxq1tqvaCgkFb8cCA/edit?usp=sharing"",""มุกดาหาร!I365"")"),0)</f>
        <v>0</v>
      </c>
      <c r="J470" s="189">
        <f ca="1">IFERROR(__xludf.DUMMYFUNCTION("IMPORTRANGE(""https://docs.google.com/spreadsheets/d/1XL5vhW3sbDhbH9Cz0tuDiY8C3ctxq1tqvaCgkFb8cCA/edit?usp=sharing"",""มุกดาหาร!J365"")"),540)</f>
        <v>540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IFERROR(__xludf.DUMMYFUNCTION("IMPORTRANGE(""https://docs.google.com/spreadsheets/d/1XL5vhW3sbDhbH9Cz0tuDiY8C3ctxq1tqvaCgkFb8cCA/edit?usp=sharing"",""มุกดาหาร!I366"")"),0)</f>
        <v>0</v>
      </c>
      <c r="J471" s="189">
        <f ca="1">IFERROR(__xludf.DUMMYFUNCTION("IMPORTRANGE(""https://docs.google.com/spreadsheets/d/1XL5vhW3sbDhbH9Cz0tuDiY8C3ctxq1tqvaCgkFb8cCA/edit?usp=sharing"",""มุกดาหาร!J366"")"),1010)</f>
        <v>1010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IFERROR(__xludf.DUMMYFUNCTION("IMPORTRANGE(""https://docs.google.com/spreadsheets/d/1XL5vhW3sbDhbH9Cz0tuDiY8C3ctxq1tqvaCgkFb8cCA/edit?usp=sharing"",""มุกดาหาร!I367"")"),0)</f>
        <v>0</v>
      </c>
      <c r="J472" s="189">
        <f ca="1">IFERROR(__xludf.DUMMYFUNCTION("IMPORTRANGE(""https://docs.google.com/spreadsheets/d/1XL5vhW3sbDhbH9Cz0tuDiY8C3ctxq1tqvaCgkFb8cCA/edit?usp=sharing"",""มุกดาหาร!J367"")"),112)</f>
        <v>112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IFERROR(__xludf.DUMMYFUNCTION("IMPORTRANGE(""https://docs.google.com/spreadsheets/d/1XL5vhW3sbDhbH9Cz0tuDiY8C3ctxq1tqvaCgkFb8cCA/edit?usp=sharing"",""มุกดาหาร!I368"")"),38745)</f>
        <v>38745</v>
      </c>
      <c r="J473" s="420">
        <f ca="1">IFERROR(__xludf.DUMMYFUNCTION("IMPORTRANGE(""https://docs.google.com/spreadsheets/d/1XL5vhW3sbDhbH9Cz0tuDiY8C3ctxq1tqvaCgkFb8cCA/edit?usp=sharing"",""มุกดาหาร!J368"")"),38743.68)</f>
        <v>38743.68</v>
      </c>
      <c r="K473" s="202">
        <f t="shared" ca="1" si="117"/>
        <v>99.996593108788232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IFERROR(__xludf.DUMMYFUNCTION("IMPORTRANGE(""https://docs.google.com/spreadsheets/d/1XL5vhW3sbDhbH9Cz0tuDiY8C3ctxq1tqvaCgkFb8cCA/edit?usp=sharing"",""มุกดาหาร!I369"")"),4715)</f>
        <v>4715</v>
      </c>
      <c r="J474" s="420">
        <f ca="1">IFERROR(__xludf.DUMMYFUNCTION("IMPORTRANGE(""https://docs.google.com/spreadsheets/d/1XL5vhW3sbDhbH9Cz0tuDiY8C3ctxq1tqvaCgkFb8cCA/edit?usp=sharing"",""มุกดาหาร!J369"")"),4715)</f>
        <v>4715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IFERROR(__xludf.DUMMYFUNCTION("IMPORTRANGE(""https://docs.google.com/spreadsheets/d/1XL5vhW3sbDhbH9Cz0tuDiY8C3ctxq1tqvaCgkFb8cCA/edit?usp=sharing"",""มุกดาหาร!I370"")"),0)</f>
        <v>0</v>
      </c>
      <c r="J475" s="189">
        <f ca="1">IFERROR(__xludf.DUMMYFUNCTION("IMPORTRANGE(""https://docs.google.com/spreadsheets/d/1XL5vhW3sbDhbH9Cz0tuDiY8C3ctxq1tqvaCgkFb8cCA/edit?usp=sharing"",""มุกดาหาร!J370"")"),33987.35)</f>
        <v>33987.35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IFERROR(__xludf.DUMMYFUNCTION("IMPORTRANGE(""https://docs.google.com/spreadsheets/d/1XL5vhW3sbDhbH9Cz0tuDiY8C3ctxq1tqvaCgkFb8cCA/edit?usp=sharing"",""มุกดาหาร!I371"")"),0)</f>
        <v>0</v>
      </c>
      <c r="J476" s="189">
        <f ca="1">IFERROR(__xludf.DUMMYFUNCTION("IMPORTRANGE(""https://docs.google.com/spreadsheets/d/1XL5vhW3sbDhbH9Cz0tuDiY8C3ctxq1tqvaCgkFb8cCA/edit?usp=sharing"",""มุกดาหาร!J371"")"),4285)</f>
        <v>4285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IFERROR(__xludf.DUMMYFUNCTION("IMPORTRANGE(""https://docs.google.com/spreadsheets/d/1XL5vhW3sbDhbH9Cz0tuDiY8C3ctxq1tqvaCgkFb8cCA/edit?usp=sharing"",""มุกดาหาร!I372"")"),0)</f>
        <v>0</v>
      </c>
      <c r="J477" s="189">
        <f ca="1">IFERROR(__xludf.DUMMYFUNCTION("IMPORTRANGE(""https://docs.google.com/spreadsheets/d/1XL5vhW3sbDhbH9Cz0tuDiY8C3ctxq1tqvaCgkFb8cCA/edit?usp=sharing"",""มุกดาหาร!J372"")"),3728.33)</f>
        <v>3728.33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IFERROR(__xludf.DUMMYFUNCTION("IMPORTRANGE(""https://docs.google.com/spreadsheets/d/1XL5vhW3sbDhbH9Cz0tuDiY8C3ctxq1tqvaCgkFb8cCA/edit?usp=sharing"",""มุกดาหาร!I373"")"),0)</f>
        <v>0</v>
      </c>
      <c r="J478" s="189">
        <f ca="1">IFERROR(__xludf.DUMMYFUNCTION("IMPORTRANGE(""https://docs.google.com/spreadsheets/d/1XL5vhW3sbDhbH9Cz0tuDiY8C3ctxq1tqvaCgkFb8cCA/edit?usp=sharing"",""มุกดาหาร!J373"")"),316)</f>
        <v>316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IFERROR(__xludf.DUMMYFUNCTION("IMPORTRANGE(""https://docs.google.com/spreadsheets/d/1XL5vhW3sbDhbH9Cz0tuDiY8C3ctxq1tqvaCgkFb8cCA/edit?usp=sharing"",""มุกดาหาร!I374"")"),0)</f>
        <v>0</v>
      </c>
      <c r="J479" s="189">
        <f ca="1">IFERROR(__xludf.DUMMYFUNCTION("IMPORTRANGE(""https://docs.google.com/spreadsheets/d/1XL5vhW3sbDhbH9Cz0tuDiY8C3ctxq1tqvaCgkFb8cCA/edit?usp=sharing"",""มุกดาหาร!J374"")"),1028)</f>
        <v>1028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IFERROR(__xludf.DUMMYFUNCTION("IMPORTRANGE(""https://docs.google.com/spreadsheets/d/1XL5vhW3sbDhbH9Cz0tuDiY8C3ctxq1tqvaCgkFb8cCA/edit?usp=sharing"",""มุกดาหาร!I375"")"),0)</f>
        <v>0</v>
      </c>
      <c r="J480" s="189">
        <f ca="1">IFERROR(__xludf.DUMMYFUNCTION("IMPORTRANGE(""https://docs.google.com/spreadsheets/d/1XL5vhW3sbDhbH9Cz0tuDiY8C3ctxq1tqvaCgkFb8cCA/edit?usp=sharing"",""มุกดาหาร!J375"")"),114)</f>
        <v>114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IFERROR(__xludf.DUMMYFUNCTION("IMPORTRANGE(""https://docs.google.com/spreadsheets/d/1XL5vhW3sbDhbH9Cz0tuDiY8C3ctxq1tqvaCgkFb8cCA/edit?usp=sharing"",""มุกดาหาร!I376"")"),38745)</f>
        <v>38745</v>
      </c>
      <c r="J481" s="420">
        <f ca="1">IFERROR(__xludf.DUMMYFUNCTION("IMPORTRANGE(""https://docs.google.com/spreadsheets/d/1XL5vhW3sbDhbH9Cz0tuDiY8C3ctxq1tqvaCgkFb8cCA/edit?usp=sharing"",""มุกดาหาร!J376"")"),0)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IFERROR(__xludf.DUMMYFUNCTION("IMPORTRANGE(""https://docs.google.com/spreadsheets/d/1XL5vhW3sbDhbH9Cz0tuDiY8C3ctxq1tqvaCgkFb8cCA/edit?usp=sharing"",""มุกดาหาร!I377"")"),4715)</f>
        <v>4715</v>
      </c>
      <c r="J482" s="420">
        <f ca="1">IFERROR(__xludf.DUMMYFUNCTION("IMPORTRANGE(""https://docs.google.com/spreadsheets/d/1XL5vhW3sbDhbH9Cz0tuDiY8C3ctxq1tqvaCgkFb8cCA/edit?usp=sharing"",""มุกดาหาร!J377"")"),0)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IFERROR(__xludf.DUMMYFUNCTION("IMPORTRANGE(""https://docs.google.com/spreadsheets/d/1XL5vhW3sbDhbH9Cz0tuDiY8C3ctxq1tqvaCgkFb8cCA/edit?usp=sharing"",""มุกดาหาร!I378"")"),0)</f>
        <v>0</v>
      </c>
      <c r="J483" s="189">
        <f ca="1">IFERROR(__xludf.DUMMYFUNCTION("IMPORTRANGE(""https://docs.google.com/spreadsheets/d/1XL5vhW3sbDhbH9Cz0tuDiY8C3ctxq1tqvaCgkFb8cCA/edit?usp=sharing"",""มุกดาหาร!J378"")"),0)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IFERROR(__xludf.DUMMYFUNCTION("IMPORTRANGE(""https://docs.google.com/spreadsheets/d/1XL5vhW3sbDhbH9Cz0tuDiY8C3ctxq1tqvaCgkFb8cCA/edit?usp=sharing"",""มุกดาหาร!I379"")"),0)</f>
        <v>0</v>
      </c>
      <c r="J484" s="189">
        <f ca="1">IFERROR(__xludf.DUMMYFUNCTION("IMPORTRANGE(""https://docs.google.com/spreadsheets/d/1XL5vhW3sbDhbH9Cz0tuDiY8C3ctxq1tqvaCgkFb8cCA/edit?usp=sharing"",""มุกดาหาร!J379"")"),0)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IFERROR(__xludf.DUMMYFUNCTION("IMPORTRANGE(""https://docs.google.com/spreadsheets/d/1XL5vhW3sbDhbH9Cz0tuDiY8C3ctxq1tqvaCgkFb8cCA/edit?usp=sharing"",""มุกดาหาร!I380"")"),0)</f>
        <v>0</v>
      </c>
      <c r="J485" s="189">
        <f ca="1">IFERROR(__xludf.DUMMYFUNCTION("IMPORTRANGE(""https://docs.google.com/spreadsheets/d/1XL5vhW3sbDhbH9Cz0tuDiY8C3ctxq1tqvaCgkFb8cCA/edit?usp=sharing"",""มุกดาหาร!J380"")"),0)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IFERROR(__xludf.DUMMYFUNCTION("IMPORTRANGE(""https://docs.google.com/spreadsheets/d/1XL5vhW3sbDhbH9Cz0tuDiY8C3ctxq1tqvaCgkFb8cCA/edit?usp=sharing"",""มุกดาหาร!I381"")"),0)</f>
        <v>0</v>
      </c>
      <c r="J486" s="189">
        <f ca="1">IFERROR(__xludf.DUMMYFUNCTION("IMPORTRANGE(""https://docs.google.com/spreadsheets/d/1XL5vhW3sbDhbH9Cz0tuDiY8C3ctxq1tqvaCgkFb8cCA/edit?usp=sharing"",""มุกดาหาร!J381"")"),0)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IFERROR(__xludf.DUMMYFUNCTION("IMPORTRANGE(""https://docs.google.com/spreadsheets/d/1XL5vhW3sbDhbH9Cz0tuDiY8C3ctxq1tqvaCgkFb8cCA/edit?usp=sharing"",""มุกดาหาร!I382"")"),0)</f>
        <v>0</v>
      </c>
      <c r="J487" s="420">
        <f ca="1">IFERROR(__xludf.DUMMYFUNCTION("IMPORTRANGE(""https://docs.google.com/spreadsheets/d/1XL5vhW3sbDhbH9Cz0tuDiY8C3ctxq1tqvaCgkFb8cCA/edit?usp=sharing"",""มุกดาหาร!J382"")"),0)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IFERROR(__xludf.DUMMYFUNCTION("IMPORTRANGE(""https://docs.google.com/spreadsheets/d/1XL5vhW3sbDhbH9Cz0tuDiY8C3ctxq1tqvaCgkFb8cCA/edit?usp=sharing"",""มุกดาหาร!I383"")"),0)</f>
        <v>0</v>
      </c>
      <c r="J488" s="420">
        <f ca="1">IFERROR(__xludf.DUMMYFUNCTION("IMPORTRANGE(""https://docs.google.com/spreadsheets/d/1XL5vhW3sbDhbH9Cz0tuDiY8C3ctxq1tqvaCgkFb8cCA/edit?usp=sharing"",""มุกดาหาร!J383"")"),0)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IFERROR(__xludf.DUMMYFUNCTION("IMPORTRANGE(""https://docs.google.com/spreadsheets/d/1XL5vhW3sbDhbH9Cz0tuDiY8C3ctxq1tqvaCgkFb8cCA/edit?usp=sharing"",""มุกดาหาร!I384"")"),0)</f>
        <v>0</v>
      </c>
      <c r="J489" s="189">
        <f ca="1">IFERROR(__xludf.DUMMYFUNCTION("IMPORTRANGE(""https://docs.google.com/spreadsheets/d/1XL5vhW3sbDhbH9Cz0tuDiY8C3ctxq1tqvaCgkFb8cCA/edit?usp=sharing"",""มุกดาหาร!J384"")"),0)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IFERROR(__xludf.DUMMYFUNCTION("IMPORTRANGE(""https://docs.google.com/spreadsheets/d/1XL5vhW3sbDhbH9Cz0tuDiY8C3ctxq1tqvaCgkFb8cCA/edit?usp=sharing"",""มุกดาหาร!I385"")"),0)</f>
        <v>0</v>
      </c>
      <c r="J490" s="189">
        <f ca="1">IFERROR(__xludf.DUMMYFUNCTION("IMPORTRANGE(""https://docs.google.com/spreadsheets/d/1XL5vhW3sbDhbH9Cz0tuDiY8C3ctxq1tqvaCgkFb8cCA/edit?usp=sharing"",""มุกดาหาร!J385"")"),0)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IFERROR(__xludf.DUMMYFUNCTION("IMPORTRANGE(""https://docs.google.com/spreadsheets/d/1XL5vhW3sbDhbH9Cz0tuDiY8C3ctxq1tqvaCgkFb8cCA/edit?usp=sharing"",""มุกดาหาร!I386"")"),0)</f>
        <v>0</v>
      </c>
      <c r="J491" s="189">
        <f ca="1">IFERROR(__xludf.DUMMYFUNCTION("IMPORTRANGE(""https://docs.google.com/spreadsheets/d/1XL5vhW3sbDhbH9Cz0tuDiY8C3ctxq1tqvaCgkFb8cCA/edit?usp=sharing"",""มุกดาหาร!J386"")"),0)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IFERROR(__xludf.DUMMYFUNCTION("IMPORTRANGE(""https://docs.google.com/spreadsheets/d/1XL5vhW3sbDhbH9Cz0tuDiY8C3ctxq1tqvaCgkFb8cCA/edit?usp=sharing"",""มุกดาหาร!I387"")"),0)</f>
        <v>0</v>
      </c>
      <c r="J492" s="189">
        <f ca="1">IFERROR(__xludf.DUMMYFUNCTION("IMPORTRANGE(""https://docs.google.com/spreadsheets/d/1XL5vhW3sbDhbH9Cz0tuDiY8C3ctxq1tqvaCgkFb8cCA/edit?usp=sharing"",""มุกดาหาร!J387"")"),0)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IFERROR(__xludf.DUMMYFUNCTION("IMPORTRANGE(""https://docs.google.com/spreadsheets/d/1XL5vhW3sbDhbH9Cz0tuDiY8C3ctxq1tqvaCgkFb8cCA/edit?usp=sharing"",""มุกดาหาร!I388"")"),0)</f>
        <v>0</v>
      </c>
      <c r="J493" s="189">
        <f ca="1">IFERROR(__xludf.DUMMYFUNCTION("IMPORTRANGE(""https://docs.google.com/spreadsheets/d/1XL5vhW3sbDhbH9Cz0tuDiY8C3ctxq1tqvaCgkFb8cCA/edit?usp=sharing"",""มุกดาหาร!J388"")"),0)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IFERROR(__xludf.DUMMYFUNCTION("IMPORTRANGE(""https://docs.google.com/spreadsheets/d/1XL5vhW3sbDhbH9Cz0tuDiY8C3ctxq1tqvaCgkFb8cCA/edit?usp=sharing"",""มุกดาหาร!I389"")"),0)</f>
        <v>0</v>
      </c>
      <c r="J494" s="436">
        <f ca="1">IFERROR(__xludf.DUMMYFUNCTION("IMPORTRANGE(""https://docs.google.com/spreadsheets/d/1XL5vhW3sbDhbH9Cz0tuDiY8C3ctxq1tqvaCgkFb8cCA/edit?usp=sharing"",""มุกดาหาร!J389"")"),0)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IFERROR(__xludf.DUMMYFUNCTION("IMPORTRANGE(""https://docs.google.com/spreadsheets/d/1XL5vhW3sbDhbH9Cz0tuDiY8C3ctxq1tqvaCgkFb8cCA/edit?usp=sharing"",""มุกดาหาร!I390"")"),0)</f>
        <v>0</v>
      </c>
      <c r="J495" s="436">
        <f ca="1">IFERROR(__xludf.DUMMYFUNCTION("IMPORTRANGE(""https://docs.google.com/spreadsheets/d/1XL5vhW3sbDhbH9Cz0tuDiY8C3ctxq1tqvaCgkFb8cCA/edit?usp=sharing"",""มุกดาหาร!J390"")"),0)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IFERROR(__xludf.DUMMYFUNCTION("IMPORTRANGE(""https://docs.google.com/spreadsheets/d/1XL5vhW3sbDhbH9Cz0tuDiY8C3ctxq1tqvaCgkFb8cCA/edit?usp=sharing"",""มุกดาหาร!I391"")"),0)</f>
        <v>0</v>
      </c>
      <c r="J496" s="436">
        <f ca="1">IFERROR(__xludf.DUMMYFUNCTION("IMPORTRANGE(""https://docs.google.com/spreadsheets/d/1XL5vhW3sbDhbH9Cz0tuDiY8C3ctxq1tqvaCgkFb8cCA/edit?usp=sharing"",""มุกดาหาร!J391"")"),0)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IFERROR(__xludf.DUMMYFUNCTION("IMPORTRANGE(""https://docs.google.com/spreadsheets/d/1XL5vhW3sbDhbH9Cz0tuDiY8C3ctxq1tqvaCgkFb8cCA/edit?usp=sharing"",""มุกดาหาร!I392"")"),2279)</f>
        <v>2279</v>
      </c>
      <c r="J497" s="443">
        <f ca="1">IFERROR(__xludf.DUMMYFUNCTION("IMPORTRANGE(""https://docs.google.com/spreadsheets/d/1XL5vhW3sbDhbH9Cz0tuDiY8C3ctxq1tqvaCgkFb8cCA/edit?usp=sharing"",""มุกดาหาร!J392"")"),391.58)</f>
        <v>391.58</v>
      </c>
      <c r="K497" s="444">
        <f t="shared" ca="1" si="117"/>
        <v>17.182097411145239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IFERROR(__xludf.DUMMYFUNCTION("IMPORTRANGE(""https://docs.google.com/spreadsheets/d/1XL5vhW3sbDhbH9Cz0tuDiY8C3ctxq1tqvaCgkFb8cCA/edit?usp=sharing"",""มุกดาหาร!I393"")"),2279)</f>
        <v>2279</v>
      </c>
      <c r="J498" s="420">
        <f ca="1">IFERROR(__xludf.DUMMYFUNCTION("IMPORTRANGE(""https://docs.google.com/spreadsheets/d/1XL5vhW3sbDhbH9Cz0tuDiY8C3ctxq1tqvaCgkFb8cCA/edit?usp=sharing"",""มุกดาหาร!J393"")"),391.58)</f>
        <v>391.58</v>
      </c>
      <c r="K498" s="202">
        <f t="shared" ca="1" si="117"/>
        <v>17.182097411145239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IFERROR(__xludf.DUMMYFUNCTION("IMPORTRANGE(""https://docs.google.com/spreadsheets/d/1XL5vhW3sbDhbH9Cz0tuDiY8C3ctxq1tqvaCgkFb8cCA/edit?usp=sharing"",""มุกดาหาร!I394"")"),188)</f>
        <v>188</v>
      </c>
      <c r="J499" s="420">
        <f ca="1">IFERROR(__xludf.DUMMYFUNCTION("IMPORTRANGE(""https://docs.google.com/spreadsheets/d/1XL5vhW3sbDhbH9Cz0tuDiY8C3ctxq1tqvaCgkFb8cCA/edit?usp=sharing"",""มุกดาหาร!J394"")"),34)</f>
        <v>34</v>
      </c>
      <c r="K499" s="202">
        <f t="shared" ca="1" si="117"/>
        <v>18.085106382978722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IFERROR(__xludf.DUMMYFUNCTION("IMPORTRANGE(""https://docs.google.com/spreadsheets/d/1XL5vhW3sbDhbH9Cz0tuDiY8C3ctxq1tqvaCgkFb8cCA/edit?usp=sharing"",""มุกดาหาร!I395"")"),0)</f>
        <v>0</v>
      </c>
      <c r="J500" s="162">
        <f ca="1">IFERROR(__xludf.DUMMYFUNCTION("IMPORTRANGE(""https://docs.google.com/spreadsheets/d/1XL5vhW3sbDhbH9Cz0tuDiY8C3ctxq1tqvaCgkFb8cCA/edit?usp=sharing"",""มุกดาหาร!J395"")"),325.83)</f>
        <v>325.83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IFERROR(__xludf.DUMMYFUNCTION("IMPORTRANGE(""https://docs.google.com/spreadsheets/d/1XL5vhW3sbDhbH9Cz0tuDiY8C3ctxq1tqvaCgkFb8cCA/edit?usp=sharing"",""มุกดาหาร!I396"")"),0)</f>
        <v>0</v>
      </c>
      <c r="J501" s="162">
        <f ca="1">IFERROR(__xludf.DUMMYFUNCTION("IMPORTRANGE(""https://docs.google.com/spreadsheets/d/1XL5vhW3sbDhbH9Cz0tuDiY8C3ctxq1tqvaCgkFb8cCA/edit?usp=sharing"",""มุกดาหาร!J396"")"),32)</f>
        <v>32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IFERROR(__xludf.DUMMYFUNCTION("IMPORTRANGE(""https://docs.google.com/spreadsheets/d/1XL5vhW3sbDhbH9Cz0tuDiY8C3ctxq1tqvaCgkFb8cCA/edit?usp=sharing"",""มุกดาหาร!I397"")"),0)</f>
        <v>0</v>
      </c>
      <c r="J502" s="189">
        <f ca="1">IFERROR(__xludf.DUMMYFUNCTION("IMPORTRANGE(""https://docs.google.com/spreadsheets/d/1XL5vhW3sbDhbH9Cz0tuDiY8C3ctxq1tqvaCgkFb8cCA/edit?usp=sharing"",""มุกดาหาร!J397"")"),182.08)</f>
        <v>182.08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IFERROR(__xludf.DUMMYFUNCTION("IMPORTRANGE(""https://docs.google.com/spreadsheets/d/1XL5vhW3sbDhbH9Cz0tuDiY8C3ctxq1tqvaCgkFb8cCA/edit?usp=sharing"",""มุกดาหาร!I398"")"),0)</f>
        <v>0</v>
      </c>
      <c r="J503" s="198">
        <f ca="1">IFERROR(__xludf.DUMMYFUNCTION("IMPORTRANGE(""https://docs.google.com/spreadsheets/d/1XL5vhW3sbDhbH9Cz0tuDiY8C3ctxq1tqvaCgkFb8cCA/edit?usp=sharing"",""มุกดาหาร!J398"")"),13)</f>
        <v>13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IFERROR(__xludf.DUMMYFUNCTION("IMPORTRANGE(""https://docs.google.com/spreadsheets/d/1XL5vhW3sbDhbH9Cz0tuDiY8C3ctxq1tqvaCgkFb8cCA/edit?usp=sharing"",""มุกดาหาร!I399"")"),0)</f>
        <v>0</v>
      </c>
      <c r="J504" s="189">
        <f ca="1">IFERROR(__xludf.DUMMYFUNCTION("IMPORTRANGE(""https://docs.google.com/spreadsheets/d/1XL5vhW3sbDhbH9Cz0tuDiY8C3ctxq1tqvaCgkFb8cCA/edit?usp=sharing"",""มุกดาหาร!J399"")"),143.75)</f>
        <v>143.75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IFERROR(__xludf.DUMMYFUNCTION("IMPORTRANGE(""https://docs.google.com/spreadsheets/d/1XL5vhW3sbDhbH9Cz0tuDiY8C3ctxq1tqvaCgkFb8cCA/edit?usp=sharing"",""มุกดาหาร!I400"")"),0)</f>
        <v>0</v>
      </c>
      <c r="J505" s="198">
        <f ca="1">IFERROR(__xludf.DUMMYFUNCTION("IMPORTRANGE(""https://docs.google.com/spreadsheets/d/1XL5vhW3sbDhbH9Cz0tuDiY8C3ctxq1tqvaCgkFb8cCA/edit?usp=sharing"",""มุกดาหาร!J400"")"),19)</f>
        <v>19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IFERROR(__xludf.DUMMYFUNCTION("IMPORTRANGE(""https://docs.google.com/spreadsheets/d/1XL5vhW3sbDhbH9Cz0tuDiY8C3ctxq1tqvaCgkFb8cCA/edit?usp=sharing"",""มุกดาหาร!I401"")"),0)</f>
        <v>0</v>
      </c>
      <c r="J506" s="189">
        <f ca="1">IFERROR(__xludf.DUMMYFUNCTION("IMPORTRANGE(""https://docs.google.com/spreadsheets/d/1XL5vhW3sbDhbH9Cz0tuDiY8C3ctxq1tqvaCgkFb8cCA/edit?usp=sharing"",""มุกดาหาร!J401"")"),0)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IFERROR(__xludf.DUMMYFUNCTION("IMPORTRANGE(""https://docs.google.com/spreadsheets/d/1XL5vhW3sbDhbH9Cz0tuDiY8C3ctxq1tqvaCgkFb8cCA/edit?usp=sharing"",""มุกดาหาร!I402"")"),0)</f>
        <v>0</v>
      </c>
      <c r="J507" s="198">
        <f ca="1">IFERROR(__xludf.DUMMYFUNCTION("IMPORTRANGE(""https://docs.google.com/spreadsheets/d/1XL5vhW3sbDhbH9Cz0tuDiY8C3ctxq1tqvaCgkFb8cCA/edit?usp=sharing"",""มุกดาหาร!J402"")"),0)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IFERROR(__xludf.DUMMYFUNCTION("IMPORTRANGE(""https://docs.google.com/spreadsheets/d/1XL5vhW3sbDhbH9Cz0tuDiY8C3ctxq1tqvaCgkFb8cCA/edit?usp=sharing"",""มุกดาหาร!I403"")"),0)</f>
        <v>0</v>
      </c>
      <c r="J508" s="162">
        <f ca="1">IFERROR(__xludf.DUMMYFUNCTION("IMPORTRANGE(""https://docs.google.com/spreadsheets/d/1XL5vhW3sbDhbH9Cz0tuDiY8C3ctxq1tqvaCgkFb8cCA/edit?usp=sharing"",""มุกดาหาร!J403"")"),65.75)</f>
        <v>65.75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IFERROR(__xludf.DUMMYFUNCTION("IMPORTRANGE(""https://docs.google.com/spreadsheets/d/1XL5vhW3sbDhbH9Cz0tuDiY8C3ctxq1tqvaCgkFb8cCA/edit?usp=sharing"",""มุกดาหาร!I404"")"),0)</f>
        <v>0</v>
      </c>
      <c r="J509" s="162">
        <f ca="1">IFERROR(__xludf.DUMMYFUNCTION("IMPORTRANGE(""https://docs.google.com/spreadsheets/d/1XL5vhW3sbDhbH9Cz0tuDiY8C3ctxq1tqvaCgkFb8cCA/edit?usp=sharing"",""มุกดาหาร!J404"")"),2)</f>
        <v>2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IFERROR(__xludf.DUMMYFUNCTION("IMPORTRANGE(""https://docs.google.com/spreadsheets/d/1XL5vhW3sbDhbH9Cz0tuDiY8C3ctxq1tqvaCgkFb8cCA/edit?usp=sharing"",""มุกดาหาร!I405"")"),0)</f>
        <v>0</v>
      </c>
      <c r="J510" s="198">
        <f ca="1">IFERROR(__xludf.DUMMYFUNCTION("IMPORTRANGE(""https://docs.google.com/spreadsheets/d/1XL5vhW3sbDhbH9Cz0tuDiY8C3ctxq1tqvaCgkFb8cCA/edit?usp=sharing"",""มุกดาหาร!J405"")"),65.75)</f>
        <v>65.75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IFERROR(__xludf.DUMMYFUNCTION("IMPORTRANGE(""https://docs.google.com/spreadsheets/d/1XL5vhW3sbDhbH9Cz0tuDiY8C3ctxq1tqvaCgkFb8cCA/edit?usp=sharing"",""มุกดาหาร!I406"")"),0)</f>
        <v>0</v>
      </c>
      <c r="J511" s="198">
        <f ca="1">IFERROR(__xludf.DUMMYFUNCTION("IMPORTRANGE(""https://docs.google.com/spreadsheets/d/1XL5vhW3sbDhbH9Cz0tuDiY8C3ctxq1tqvaCgkFb8cCA/edit?usp=sharing"",""มุกดาหาร!J406"")"),2)</f>
        <v>2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IFERROR(__xludf.DUMMYFUNCTION("IMPORTRANGE(""https://docs.google.com/spreadsheets/d/1XL5vhW3sbDhbH9Cz0tuDiY8C3ctxq1tqvaCgkFb8cCA/edit?usp=sharing"",""มุกดาหาร!I407"")"),0)</f>
        <v>0</v>
      </c>
      <c r="J512" s="198">
        <f ca="1">IFERROR(__xludf.DUMMYFUNCTION("IMPORTRANGE(""https://docs.google.com/spreadsheets/d/1XL5vhW3sbDhbH9Cz0tuDiY8C3ctxq1tqvaCgkFb8cCA/edit?usp=sharing"",""มุกดาหาร!J407"")"),0)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IFERROR(__xludf.DUMMYFUNCTION("IMPORTRANGE(""https://docs.google.com/spreadsheets/d/1XL5vhW3sbDhbH9Cz0tuDiY8C3ctxq1tqvaCgkFb8cCA/edit?usp=sharing"",""มุกดาหาร!I408"")"),0)</f>
        <v>0</v>
      </c>
      <c r="J513" s="198">
        <f ca="1">IFERROR(__xludf.DUMMYFUNCTION("IMPORTRANGE(""https://docs.google.com/spreadsheets/d/1XL5vhW3sbDhbH9Cz0tuDiY8C3ctxq1tqvaCgkFb8cCA/edit?usp=sharing"",""มุกดาหาร!J408"")"),0)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IFERROR(__xludf.DUMMYFUNCTION("IMPORTRANGE(""https://docs.google.com/spreadsheets/d/1XL5vhW3sbDhbH9Cz0tuDiY8C3ctxq1tqvaCgkFb8cCA/edit?usp=sharing"",""มุกดาหาร!I409"")"),0)</f>
        <v>0</v>
      </c>
      <c r="J514" s="198">
        <f ca="1">IFERROR(__xludf.DUMMYFUNCTION("IMPORTRANGE(""https://docs.google.com/spreadsheets/d/1XL5vhW3sbDhbH9Cz0tuDiY8C3ctxq1tqvaCgkFb8cCA/edit?usp=sharing"",""มุกดาหาร!J409"")"),0)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IFERROR(__xludf.DUMMYFUNCTION("IMPORTRANGE(""https://docs.google.com/spreadsheets/d/1XL5vhW3sbDhbH9Cz0tuDiY8C3ctxq1tqvaCgkFb8cCA/edit?usp=sharing"",""มุกดาหาร!I410"")"),0)</f>
        <v>0</v>
      </c>
      <c r="J515" s="198">
        <f ca="1">IFERROR(__xludf.DUMMYFUNCTION("IMPORTRANGE(""https://docs.google.com/spreadsheets/d/1XL5vhW3sbDhbH9Cz0tuDiY8C3ctxq1tqvaCgkFb8cCA/edit?usp=sharing"",""มุกดาหาร!J410"")"),0)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IFERROR(__xludf.DUMMYFUNCTION("IMPORTRANGE(""https://docs.google.com/spreadsheets/d/1XL5vhW3sbDhbH9Cz0tuDiY8C3ctxq1tqvaCgkFb8cCA/edit?usp=sharing"",""มุกดาหาร!I411"")"),0)</f>
        <v>0</v>
      </c>
      <c r="J516" s="267">
        <f ca="1">IFERROR(__xludf.DUMMYFUNCTION("IMPORTRANGE(""https://docs.google.com/spreadsheets/d/1XL5vhW3sbDhbH9Cz0tuDiY8C3ctxq1tqvaCgkFb8cCA/edit?usp=sharing"",""มุกดาหาร!J411"")"),0)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IFERROR(__xludf.DUMMYFUNCTION("IMPORTRANGE(""https://docs.google.com/spreadsheets/d/1XL5vhW3sbDhbH9Cz0tuDiY8C3ctxq1tqvaCgkFb8cCA/edit?usp=sharing"",""มุกดาหาร!I412"")"),0)</f>
        <v>0</v>
      </c>
      <c r="J517" s="284">
        <f ca="1">IFERROR(__xludf.DUMMYFUNCTION("IMPORTRANGE(""https://docs.google.com/spreadsheets/d/1XL5vhW3sbDhbH9Cz0tuDiY8C3ctxq1tqvaCgkFb8cCA/edit?usp=sharing"",""มุกดาหาร!J412"")"),0)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IFERROR(__xludf.DUMMYFUNCTION("IMPORTRANGE(""https://docs.google.com/spreadsheets/d/1XL5vhW3sbDhbH9Cz0tuDiY8C3ctxq1tqvaCgkFb8cCA/edit?usp=sharing"",""มุกดาหาร!I413"")"),0)</f>
        <v>0</v>
      </c>
      <c r="J518" s="284">
        <f ca="1">IFERROR(__xludf.DUMMYFUNCTION("IMPORTRANGE(""https://docs.google.com/spreadsheets/d/1XL5vhW3sbDhbH9Cz0tuDiY8C3ctxq1tqvaCgkFb8cCA/edit?usp=sharing"",""มุกดาหาร!J413"")"),0)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IFERROR(__xludf.DUMMYFUNCTION("IMPORTRANGE(""https://docs.google.com/spreadsheets/d/1XL5vhW3sbDhbH9Cz0tuDiY8C3ctxq1tqvaCgkFb8cCA/edit?usp=sharing"",""มุกดาหาร!I414"")"),0)</f>
        <v>0</v>
      </c>
      <c r="J519" s="188">
        <f ca="1">IFERROR(__xludf.DUMMYFUNCTION("IMPORTRANGE(""https://docs.google.com/spreadsheets/d/1XL5vhW3sbDhbH9Cz0tuDiY8C3ctxq1tqvaCgkFb8cCA/edit?usp=sharing"",""มุกดาหาร!J414"")"),0)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IFERROR(__xludf.DUMMYFUNCTION("IMPORTRANGE(""https://docs.google.com/spreadsheets/d/1XL5vhW3sbDhbH9Cz0tuDiY8C3ctxq1tqvaCgkFb8cCA/edit?usp=sharing"",""มุกดาหาร!I415"")"),0)</f>
        <v>0</v>
      </c>
      <c r="J520" s="188">
        <f ca="1">IFERROR(__xludf.DUMMYFUNCTION("IMPORTRANGE(""https://docs.google.com/spreadsheets/d/1XL5vhW3sbDhbH9Cz0tuDiY8C3ctxq1tqvaCgkFb8cCA/edit?usp=sharing"",""มุกดาหาร!J415"")"),0)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IFERROR(__xludf.DUMMYFUNCTION("IMPORTRANGE(""https://docs.google.com/spreadsheets/d/1XL5vhW3sbDhbH9Cz0tuDiY8C3ctxq1tqvaCgkFb8cCA/edit?usp=sharing"",""มุกดาหาร!I416"")"),0)</f>
        <v>0</v>
      </c>
      <c r="J521" s="188">
        <f ca="1">IFERROR(__xludf.DUMMYFUNCTION("IMPORTRANGE(""https://docs.google.com/spreadsheets/d/1XL5vhW3sbDhbH9Cz0tuDiY8C3ctxq1tqvaCgkFb8cCA/edit?usp=sharing"",""มุกดาหาร!J416"")"),0)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IFERROR(__xludf.DUMMYFUNCTION("IMPORTRANGE(""https://docs.google.com/spreadsheets/d/1XL5vhW3sbDhbH9Cz0tuDiY8C3ctxq1tqvaCgkFb8cCA/edit?usp=sharing"",""มุกดาหาร!I417"")"),0)</f>
        <v>0</v>
      </c>
      <c r="J522" s="188">
        <f ca="1">IFERROR(__xludf.DUMMYFUNCTION("IMPORTRANGE(""https://docs.google.com/spreadsheets/d/1XL5vhW3sbDhbH9Cz0tuDiY8C3ctxq1tqvaCgkFb8cCA/edit?usp=sharing"",""มุกดาหาร!J417"")"),0)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IFERROR(__xludf.DUMMYFUNCTION("IMPORTRANGE(""https://docs.google.com/spreadsheets/d/1XL5vhW3sbDhbH9Cz0tuDiY8C3ctxq1tqvaCgkFb8cCA/edit?usp=sharing"",""มุกดาหาร!I418"")"),0)</f>
        <v>0</v>
      </c>
      <c r="J523" s="188">
        <f ca="1">IFERROR(__xludf.DUMMYFUNCTION("IMPORTRANGE(""https://docs.google.com/spreadsheets/d/1XL5vhW3sbDhbH9Cz0tuDiY8C3ctxq1tqvaCgkFb8cCA/edit?usp=sharing"",""มุกดาหาร!J418"")"),0)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IFERROR(__xludf.DUMMYFUNCTION("IMPORTRANGE(""https://docs.google.com/spreadsheets/d/1XL5vhW3sbDhbH9Cz0tuDiY8C3ctxq1tqvaCgkFb8cCA/edit?usp=sharing"",""มุกดาหาร!I419"")"),0)</f>
        <v>0</v>
      </c>
      <c r="J524" s="188">
        <f ca="1">IFERROR(__xludf.DUMMYFUNCTION("IMPORTRANGE(""https://docs.google.com/spreadsheets/d/1XL5vhW3sbDhbH9Cz0tuDiY8C3ctxq1tqvaCgkFb8cCA/edit?usp=sharing"",""มุกดาหาร!J419"")"),0)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IFERROR(__xludf.DUMMYFUNCTION("IMPORTRANGE(""https://docs.google.com/spreadsheets/d/1XL5vhW3sbDhbH9Cz0tuDiY8C3ctxq1tqvaCgkFb8cCA/edit?usp=sharing"",""มุกดาหาร!I420"")"),0)</f>
        <v>0</v>
      </c>
      <c r="J525" s="284">
        <f ca="1">IFERROR(__xludf.DUMMYFUNCTION("IMPORTRANGE(""https://docs.google.com/spreadsheets/d/1XL5vhW3sbDhbH9Cz0tuDiY8C3ctxq1tqvaCgkFb8cCA/edit?usp=sharing"",""มุกดาหาร!J420"")"),0)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IFERROR(__xludf.DUMMYFUNCTION("IMPORTRANGE(""https://docs.google.com/spreadsheets/d/1XL5vhW3sbDhbH9Cz0tuDiY8C3ctxq1tqvaCgkFb8cCA/edit?usp=sharing"",""มุกดาหาร!I421"")"),0)</f>
        <v>0</v>
      </c>
      <c r="J526" s="284">
        <f ca="1">IFERROR(__xludf.DUMMYFUNCTION("IMPORTRANGE(""https://docs.google.com/spreadsheets/d/1XL5vhW3sbDhbH9Cz0tuDiY8C3ctxq1tqvaCgkFb8cCA/edit?usp=sharing"",""มุกดาหาร!J421"")"),0)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IFERROR(__xludf.DUMMYFUNCTION("IMPORTRANGE(""https://docs.google.com/spreadsheets/d/1XL5vhW3sbDhbH9Cz0tuDiY8C3ctxq1tqvaCgkFb8cCA/edit?usp=sharing"",""มุกดาหาร!I422"")"),0)</f>
        <v>0</v>
      </c>
      <c r="J527" s="198">
        <f ca="1">IFERROR(__xludf.DUMMYFUNCTION("IMPORTRANGE(""https://docs.google.com/spreadsheets/d/1XL5vhW3sbDhbH9Cz0tuDiY8C3ctxq1tqvaCgkFb8cCA/edit?usp=sharing"",""มุกดาหาร!J422"")"),0)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IFERROR(__xludf.DUMMYFUNCTION("IMPORTRANGE(""https://docs.google.com/spreadsheets/d/1XL5vhW3sbDhbH9Cz0tuDiY8C3ctxq1tqvaCgkFb8cCA/edit?usp=sharing"",""มุกดาหาร!I423"")"),0)</f>
        <v>0</v>
      </c>
      <c r="J528" s="198">
        <f ca="1">IFERROR(__xludf.DUMMYFUNCTION("IMPORTRANGE(""https://docs.google.com/spreadsheets/d/1XL5vhW3sbDhbH9Cz0tuDiY8C3ctxq1tqvaCgkFb8cCA/edit?usp=sharing"",""มุกดาหาร!J423"")"),0)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IFERROR(__xludf.DUMMYFUNCTION("IMPORTRANGE(""https://docs.google.com/spreadsheets/d/1XL5vhW3sbDhbH9Cz0tuDiY8C3ctxq1tqvaCgkFb8cCA/edit?usp=sharing"",""มุกดาหาร!I424"")"),0)</f>
        <v>0</v>
      </c>
      <c r="J529" s="198">
        <f ca="1">IFERROR(__xludf.DUMMYFUNCTION("IMPORTRANGE(""https://docs.google.com/spreadsheets/d/1XL5vhW3sbDhbH9Cz0tuDiY8C3ctxq1tqvaCgkFb8cCA/edit?usp=sharing"",""มุกดาหาร!J424"")"),0)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IFERROR(__xludf.DUMMYFUNCTION("IMPORTRANGE(""https://docs.google.com/spreadsheets/d/1XL5vhW3sbDhbH9Cz0tuDiY8C3ctxq1tqvaCgkFb8cCA/edit?usp=sharing"",""มุกดาหาร!I425"")"),0)</f>
        <v>0</v>
      </c>
      <c r="J530" s="198">
        <f ca="1">IFERROR(__xludf.DUMMYFUNCTION("IMPORTRANGE(""https://docs.google.com/spreadsheets/d/1XL5vhW3sbDhbH9Cz0tuDiY8C3ctxq1tqvaCgkFb8cCA/edit?usp=sharing"",""มุกดาหาร!J425"")"),0)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IFERROR(__xludf.DUMMYFUNCTION("IMPORTRANGE(""https://docs.google.com/spreadsheets/d/1XL5vhW3sbDhbH9Cz0tuDiY8C3ctxq1tqvaCgkFb8cCA/edit?usp=sharing"",""มุกดาหาร!I426"")"),0)</f>
        <v>0</v>
      </c>
      <c r="J531" s="198">
        <f ca="1">IFERROR(__xludf.DUMMYFUNCTION("IMPORTRANGE(""https://docs.google.com/spreadsheets/d/1XL5vhW3sbDhbH9Cz0tuDiY8C3ctxq1tqvaCgkFb8cCA/edit?usp=sharing"",""มุกดาหาร!J426"")"),0)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IFERROR(__xludf.DUMMYFUNCTION("IMPORTRANGE(""https://docs.google.com/spreadsheets/d/1XL5vhW3sbDhbH9Cz0tuDiY8C3ctxq1tqvaCgkFb8cCA/edit?usp=sharing"",""มุกดาหาร!I427"")"),0)</f>
        <v>0</v>
      </c>
      <c r="J532" s="466">
        <f ca="1">IFERROR(__xludf.DUMMYFUNCTION("IMPORTRANGE(""https://docs.google.com/spreadsheets/d/1XL5vhW3sbDhbH9Cz0tuDiY8C3ctxq1tqvaCgkFb8cCA/edit?usp=sharing"",""มุกดาหาร!J427"")"),0)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IFERROR(__xludf.DUMMYFUNCTION("IMPORTRANGE(""https://docs.google.com/spreadsheets/d/1XL5vhW3sbDhbH9Cz0tuDiY8C3ctxq1tqvaCgkFb8cCA/edit?usp=sharing"",""มุกดาหาร!I428"")"),22)</f>
        <v>22</v>
      </c>
      <c r="J533" s="410">
        <f ca="1">IFERROR(__xludf.DUMMYFUNCTION("IMPORTRANGE(""https://docs.google.com/spreadsheets/d/1XL5vhW3sbDhbH9Cz0tuDiY8C3ctxq1tqvaCgkFb8cCA/edit?usp=sharing"",""มุกดาหาร!J428"")"),22)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IFERROR(__xludf.DUMMYFUNCTION("IMPORTRANGE(""https://docs.google.com/spreadsheets/d/1XL5vhW3sbDhbH9Cz0tuDiY8C3ctxq1tqvaCgkFb8cCA/edit?usp=sharing"",""มุกดาหาร!L428"")"),34340)</f>
        <v>34340</v>
      </c>
      <c r="M533" s="412"/>
      <c r="N533" s="412">
        <f ca="1">IFERROR(__xludf.DUMMYFUNCTION("IMPORTRANGE(""https://docs.google.com/spreadsheets/d/1XL5vhW3sbDhbH9Cz0tuDiY8C3ctxq1tqvaCgkFb8cCA/edit?usp=sharing"",""มุกดาหาร!M428"")"),34340)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IFERROR(__xludf.DUMMYFUNCTION("IMPORTRANGE(""https://docs.google.com/spreadsheets/d/1XL5vhW3sbDhbH9Cz0tuDiY8C3ctxq1tqvaCgkFb8cCA/edit?usp=sharing"",""มุกดาหาร!L429"")"),0)</f>
        <v>0</v>
      </c>
      <c r="M534" s="164"/>
      <c r="N534" s="169">
        <f ca="1">IFERROR(__xludf.DUMMYFUNCTION("IMPORTRANGE(""https://docs.google.com/spreadsheets/d/1XL5vhW3sbDhbH9Cz0tuDiY8C3ctxq1tqvaCgkFb8cCA/edit?usp=sharing"",""มุกดาหาร!M429"")"),0)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IFERROR(__xludf.DUMMYFUNCTION("IMPORTRANGE(""https://docs.google.com/spreadsheets/d/1XL5vhW3sbDhbH9Cz0tuDiY8C3ctxq1tqvaCgkFb8cCA/edit?usp=sharing"",""มุกดาหาร!L430"")"),34340)</f>
        <v>34340</v>
      </c>
      <c r="M535" s="165"/>
      <c r="N535" s="169">
        <f ca="1">IFERROR(__xludf.DUMMYFUNCTION("IMPORTRANGE(""https://docs.google.com/spreadsheets/d/1XL5vhW3sbDhbH9Cz0tuDiY8C3ctxq1tqvaCgkFb8cCA/edit?usp=sharing"",""มุกดาหาร!M430"")"),34340)</f>
        <v>34340</v>
      </c>
      <c r="O535" s="169">
        <f t="shared" ca="1" si="118"/>
        <v>100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IFERROR(__xludf.DUMMYFUNCTION("IMPORTRANGE(""https://docs.google.com/spreadsheets/d/1XL5vhW3sbDhbH9Cz0tuDiY8C3ctxq1tqvaCgkFb8cCA/edit?usp=sharing"",""มุกดาหาร!L431"")"),0)</f>
        <v>0</v>
      </c>
      <c r="M536" s="169"/>
      <c r="N536" s="169">
        <f ca="1">IFERROR(__xludf.DUMMYFUNCTION("IMPORTRANGE(""https://docs.google.com/spreadsheets/d/1XL5vhW3sbDhbH9Cz0tuDiY8C3ctxq1tqvaCgkFb8cCA/edit?usp=sharing"",""มุกดาหาร!M431"")"),0)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IFERROR(__xludf.DUMMYFUNCTION("IMPORTRANGE(""https://docs.google.com/spreadsheets/d/1XL5vhW3sbDhbH9Cz0tuDiY8C3ctxq1tqvaCgkFb8cCA/edit?usp=sharing"",""มุกดาหาร!L432"")"),34340)</f>
        <v>34340</v>
      </c>
      <c r="M537" s="169"/>
      <c r="N537" s="169">
        <f ca="1">IFERROR(__xludf.DUMMYFUNCTION("IMPORTRANGE(""https://docs.google.com/spreadsheets/d/1XL5vhW3sbDhbH9Cz0tuDiY8C3ctxq1tqvaCgkFb8cCA/edit?usp=sharing"",""มุกดาหาร!M432"")"),34340)</f>
        <v>34340</v>
      </c>
      <c r="O537" s="169">
        <f t="shared" ca="1" si="118"/>
        <v>100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IFERROR(__xludf.DUMMYFUNCTION("IMPORTRANGE(""https://docs.google.com/spreadsheets/d/1XL5vhW3sbDhbH9Cz0tuDiY8C3ctxq1tqvaCgkFb8cCA/edit?usp=sharing"",""มุกดาหาร!M433"")"),18420)</f>
        <v>18420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IFERROR(__xludf.DUMMYFUNCTION("IMPORTRANGE(""https://docs.google.com/spreadsheets/d/1XL5vhW3sbDhbH9Cz0tuDiY8C3ctxq1tqvaCgkFb8cCA/edit?usp=sharing"",""มุกดาหาร!M434"")"),0)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IFERROR(__xludf.DUMMYFUNCTION("IMPORTRANGE(""https://docs.google.com/spreadsheets/d/1XL5vhW3sbDhbH9Cz0tuDiY8C3ctxq1tqvaCgkFb8cCA/edit?usp=sharing"",""มุกดาหาร!M435"")"),0)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IFERROR(__xludf.DUMMYFUNCTION("IMPORTRANGE(""https://docs.google.com/spreadsheets/d/1XL5vhW3sbDhbH9Cz0tuDiY8C3ctxq1tqvaCgkFb8cCA/edit?usp=sharing"",""มุกดาหาร!M436"")"),15920)</f>
        <v>15920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IFERROR(__xludf.DUMMYFUNCTION("IMPORTRANGE(""https://docs.google.com/spreadsheets/d/1XL5vhW3sbDhbH9Cz0tuDiY8C3ctxq1tqvaCgkFb8cCA/edit?usp=sharing"",""มุกดาหาร!J438"")"),0)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IFERROR(__xludf.DUMMYFUNCTION("IMPORTRANGE(""https://docs.google.com/spreadsheets/d/1XL5vhW3sbDhbH9Cz0tuDiY8C3ctxq1tqvaCgkFb8cCA/edit?usp=sharing"",""มุกดาหาร!J439"")"),0)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IFERROR(__xludf.DUMMYFUNCTION("IMPORTRANGE(""https://docs.google.com/spreadsheets/d/1XL5vhW3sbDhbH9Cz0tuDiY8C3ctxq1tqvaCgkFb8cCA/edit?usp=sharing"",""มุกดาหาร!J440"")"),0)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IFERROR(__xludf.DUMMYFUNCTION("IMPORTRANGE(""https://docs.google.com/spreadsheets/d/1XL5vhW3sbDhbH9Cz0tuDiY8C3ctxq1tqvaCgkFb8cCA/edit?usp=sharing"",""มุกดาหาร!J441"")"),0)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IFERROR(__xludf.DUMMYFUNCTION("IMPORTRANGE(""https://docs.google.com/spreadsheets/d/1XL5vhW3sbDhbH9Cz0tuDiY8C3ctxq1tqvaCgkFb8cCA/edit?usp=sharing"",""มุกดาหาร!I442"")"),22)</f>
        <v>22</v>
      </c>
      <c r="J547" s="189">
        <f ca="1">IFERROR(__xludf.DUMMYFUNCTION("IMPORTRANGE(""https://docs.google.com/spreadsheets/d/1XL5vhW3sbDhbH9Cz0tuDiY8C3ctxq1tqvaCgkFb8cCA/edit?usp=sharing"",""มุกดาหาร!J442"")"),22)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IFERROR(__xludf.DUMMYFUNCTION("IMPORTRANGE(""https://docs.google.com/spreadsheets/d/1XL5vhW3sbDhbH9Cz0tuDiY8C3ctxq1tqvaCgkFb8cCA/edit?usp=sharing"",""มุกดาหาร!J166"")"),0)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IFERROR(__xludf.DUMMYFUNCTION("IMPORTRANGE(""https://docs.google.com/spreadsheets/d/1XL5vhW3sbDhbH9Cz0tuDiY8C3ctxq1tqvaCgkFb8cCA/edit?usp=sharing"",""มุกดาหาร!J444"")"),1)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IFERROR(__xludf.DUMMYFUNCTION("IMPORTRANGE(""https://docs.google.com/spreadsheets/d/1XL5vhW3sbDhbH9Cz0tuDiY8C3ctxq1tqvaCgkFb8cCA/edit?usp=sharing"",""มุกดาหาร!J445"")"),1)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IFERROR(__xludf.DUMMYFUNCTION("IMPORTRANGE(""https://docs.google.com/spreadsheets/d/1XL5vhW3sbDhbH9Cz0tuDiY8C3ctxq1tqvaCgkFb8cCA/edit?usp=sharing"",""มุกดาหาร!I446"")"),0)</f>
        <v>0</v>
      </c>
      <c r="J551" s="410">
        <f ca="1">IFERROR(__xludf.DUMMYFUNCTION("IMPORTRANGE(""https://docs.google.com/spreadsheets/d/1XL5vhW3sbDhbH9Cz0tuDiY8C3ctxq1tqvaCgkFb8cCA/edit?usp=sharing"",""มุกดาหาร!J446"")"),0)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IFERROR(__xludf.DUMMYFUNCTION("IMPORTRANGE(""https://docs.google.com/spreadsheets/d/1XL5vhW3sbDhbH9Cz0tuDiY8C3ctxq1tqvaCgkFb8cCA/edit?usp=sharing"",""มุกดาหาร!L446"")"),0)</f>
        <v>0</v>
      </c>
      <c r="M551" s="412"/>
      <c r="N551" s="412">
        <f ca="1">IFERROR(__xludf.DUMMYFUNCTION("IMPORTRANGE(""https://docs.google.com/spreadsheets/d/1XL5vhW3sbDhbH9Cz0tuDiY8C3ctxq1tqvaCgkFb8cCA/edit?usp=sharing"",""มุกดาหาร!M446"")"),0)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IFERROR(__xludf.DUMMYFUNCTION("IMPORTRANGE(""https://docs.google.com/spreadsheets/d/1XL5vhW3sbDhbH9Cz0tuDiY8C3ctxq1tqvaCgkFb8cCA/edit?usp=sharing"",""มุกดาหาร!L447"")"),0)</f>
        <v>0</v>
      </c>
      <c r="M552" s="164"/>
      <c r="N552" s="169">
        <f ca="1">IFERROR(__xludf.DUMMYFUNCTION("IMPORTRANGE(""https://docs.google.com/spreadsheets/d/1XL5vhW3sbDhbH9Cz0tuDiY8C3ctxq1tqvaCgkFb8cCA/edit?usp=sharing"",""มุกดาหาร!M447"")"),0)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IFERROR(__xludf.DUMMYFUNCTION("IMPORTRANGE(""https://docs.google.com/spreadsheets/d/1XL5vhW3sbDhbH9Cz0tuDiY8C3ctxq1tqvaCgkFb8cCA/edit?usp=sharing"",""มุกดาหาร!L448"")"),0)</f>
        <v>0</v>
      </c>
      <c r="M553" s="165"/>
      <c r="N553" s="169">
        <f ca="1">IFERROR(__xludf.DUMMYFUNCTION("IMPORTRANGE(""https://docs.google.com/spreadsheets/d/1XL5vhW3sbDhbH9Cz0tuDiY8C3ctxq1tqvaCgkFb8cCA/edit?usp=sharing"",""มุกดาหาร!M448"")"),0)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IFERROR(__xludf.DUMMYFUNCTION("IMPORTRANGE(""https://docs.google.com/spreadsheets/d/1XL5vhW3sbDhbH9Cz0tuDiY8C3ctxq1tqvaCgkFb8cCA/edit?usp=sharing"",""มุกดาหาร!L449"")"),0)</f>
        <v>0</v>
      </c>
      <c r="M554" s="169"/>
      <c r="N554" s="169">
        <f ca="1">IFERROR(__xludf.DUMMYFUNCTION("IMPORTRANGE(""https://docs.google.com/spreadsheets/d/1XL5vhW3sbDhbH9Cz0tuDiY8C3ctxq1tqvaCgkFb8cCA/edit?usp=sharing"",""มุกดาหาร!M449"")"),0)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IFERROR(__xludf.DUMMYFUNCTION("IMPORTRANGE(""https://docs.google.com/spreadsheets/d/1XL5vhW3sbDhbH9Cz0tuDiY8C3ctxq1tqvaCgkFb8cCA/edit?usp=sharing"",""มุกดาหาร!L450"")"),0)</f>
        <v>0</v>
      </c>
      <c r="M555" s="169"/>
      <c r="N555" s="169">
        <f ca="1">IFERROR(__xludf.DUMMYFUNCTION("IMPORTRANGE(""https://docs.google.com/spreadsheets/d/1XL5vhW3sbDhbH9Cz0tuDiY8C3ctxq1tqvaCgkFb8cCA/edit?usp=sharing"",""มุกดาหาร!M450"")"),0)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IFERROR(__xludf.DUMMYFUNCTION("IMPORTRANGE(""https://docs.google.com/spreadsheets/d/1XL5vhW3sbDhbH9Cz0tuDiY8C3ctxq1tqvaCgkFb8cCA/edit?usp=sharing"",""มุกดาหาร!M451"")"),0)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IFERROR(__xludf.DUMMYFUNCTION("IMPORTRANGE(""https://docs.google.com/spreadsheets/d/1XL5vhW3sbDhbH9Cz0tuDiY8C3ctxq1tqvaCgkFb8cCA/edit?usp=sharing"",""มุกดาหาร!M452"")"),0)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IFERROR(__xludf.DUMMYFUNCTION("IMPORTRANGE(""https://docs.google.com/spreadsheets/d/1XL5vhW3sbDhbH9Cz0tuDiY8C3ctxq1tqvaCgkFb8cCA/edit?usp=sharing"",""มุกดาหาร!M453"")"),0)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IFERROR(__xludf.DUMMYFUNCTION("IMPORTRANGE(""https://docs.google.com/spreadsheets/d/1XL5vhW3sbDhbH9Cz0tuDiY8C3ctxq1tqvaCgkFb8cCA/edit?usp=sharing"",""มุกดาหาร!M454"")"),0)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IFERROR(__xludf.DUMMYFUNCTION("IMPORTRANGE(""https://docs.google.com/spreadsheets/d/1XL5vhW3sbDhbH9Cz0tuDiY8C3ctxq1tqvaCgkFb8cCA/edit?usp=sharing"",""มุกดาหาร!I455"")"),0)</f>
        <v>0</v>
      </c>
      <c r="J560" s="162">
        <f ca="1">IFERROR(__xludf.DUMMYFUNCTION("IMPORTRANGE(""https://docs.google.com/spreadsheets/d/1XL5vhW3sbDhbH9Cz0tuDiY8C3ctxq1tqvaCgkFb8cCA/edit?usp=sharing"",""มุกดาหาร!J455"")"),0)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IFERROR(__xludf.DUMMYFUNCTION("IMPORTRANGE(""https://docs.google.com/spreadsheets/d/1XL5vhW3sbDhbH9Cz0tuDiY8C3ctxq1tqvaCgkFb8cCA/edit?usp=sharing"",""มุกดาหาร!I456"")"),0)</f>
        <v>0</v>
      </c>
      <c r="J561" s="204">
        <f ca="1">IFERROR(__xludf.DUMMYFUNCTION("IMPORTRANGE(""https://docs.google.com/spreadsheets/d/1XL5vhW3sbDhbH9Cz0tuDiY8C3ctxq1tqvaCgkFb8cCA/edit?usp=sharing"",""มุกดาหาร!J456"")"),0)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IFERROR(__xludf.DUMMYFUNCTION("IMPORTRANGE(""https://docs.google.com/spreadsheets/d/1XL5vhW3sbDhbH9Cz0tuDiY8C3ctxq1tqvaCgkFb8cCA/edit?usp=sharing"",""มุกดาหาร!I459"")"),1800)</f>
        <v>1800</v>
      </c>
      <c r="J564" s="371">
        <f ca="1">IFERROR(__xludf.DUMMYFUNCTION("IMPORTRANGE(""https://docs.google.com/spreadsheets/d/1XL5vhW3sbDhbH9Cz0tuDiY8C3ctxq1tqvaCgkFb8cCA/edit?usp=sharing"",""มุกดาหาร!J459"")"),1893)</f>
        <v>1893</v>
      </c>
      <c r="K564" s="372">
        <f ca="1">IF(I564&gt;0,J564*100/I564,0)</f>
        <v>105.16666666666667</v>
      </c>
      <c r="L564" s="373">
        <f ca="1">IFERROR(__xludf.DUMMYFUNCTION("IMPORTRANGE(""https://docs.google.com/spreadsheets/d/1XL5vhW3sbDhbH9Cz0tuDiY8C3ctxq1tqvaCgkFb8cCA/edit?usp=sharing"",""มุกดาหาร!L459"")"),136480)</f>
        <v>136480</v>
      </c>
      <c r="M564" s="373"/>
      <c r="N564" s="373">
        <f ca="1">IFERROR(__xludf.DUMMYFUNCTION("IMPORTRANGE(""https://docs.google.com/spreadsheets/d/1XL5vhW3sbDhbH9Cz0tuDiY8C3ctxq1tqvaCgkFb8cCA/edit?usp=sharing"",""มุกดาหาร!M459"")"),90179.3)</f>
        <v>90179.3</v>
      </c>
      <c r="O564" s="373">
        <f t="shared" ref="O564:O568" ca="1" si="122">+IF(L564&gt;0,N564*100/L564,0)</f>
        <v>66.075102579132476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IFERROR(__xludf.DUMMYFUNCTION("IMPORTRANGE(""https://docs.google.com/spreadsheets/d/1XL5vhW3sbDhbH9Cz0tuDiY8C3ctxq1tqvaCgkFb8cCA/edit?usp=sharing"",""มุกดาหาร!L460"")"),0)</f>
        <v>0</v>
      </c>
      <c r="M565" s="164"/>
      <c r="N565" s="169">
        <f ca="1">IFERROR(__xludf.DUMMYFUNCTION("IMPORTRANGE(""https://docs.google.com/spreadsheets/d/1XL5vhW3sbDhbH9Cz0tuDiY8C3ctxq1tqvaCgkFb8cCA/edit?usp=sharing"",""มุกดาหาร!M460"")"),0)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IFERROR(__xludf.DUMMYFUNCTION("IMPORTRANGE(""https://docs.google.com/spreadsheets/d/1XL5vhW3sbDhbH9Cz0tuDiY8C3ctxq1tqvaCgkFb8cCA/edit?usp=sharing"",""มุกดาหาร!L461"")"),136480)</f>
        <v>136480</v>
      </c>
      <c r="M566" s="165"/>
      <c r="N566" s="169">
        <f ca="1">IFERROR(__xludf.DUMMYFUNCTION("IMPORTRANGE(""https://docs.google.com/spreadsheets/d/1XL5vhW3sbDhbH9Cz0tuDiY8C3ctxq1tqvaCgkFb8cCA/edit?usp=sharing"",""มุกดาหาร!M461"")"),90179.3)</f>
        <v>90179.3</v>
      </c>
      <c r="O566" s="169">
        <f t="shared" ca="1" si="122"/>
        <v>66.075102579132476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IFERROR(__xludf.DUMMYFUNCTION("IMPORTRANGE(""https://docs.google.com/spreadsheets/d/1XL5vhW3sbDhbH9Cz0tuDiY8C3ctxq1tqvaCgkFb8cCA/edit?usp=sharing"",""มุกดาหาร!L462"")"),0)</f>
        <v>0</v>
      </c>
      <c r="M567" s="169"/>
      <c r="N567" s="169">
        <f ca="1">IFERROR(__xludf.DUMMYFUNCTION("IMPORTRANGE(""https://docs.google.com/spreadsheets/d/1XL5vhW3sbDhbH9Cz0tuDiY8C3ctxq1tqvaCgkFb8cCA/edit?usp=sharing"",""มุกดาหาร!M462"")"),0)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IFERROR(__xludf.DUMMYFUNCTION("IMPORTRANGE(""https://docs.google.com/spreadsheets/d/1XL5vhW3sbDhbH9Cz0tuDiY8C3ctxq1tqvaCgkFb8cCA/edit?usp=sharing"",""มุกดาหาร!L463"")"),136480)</f>
        <v>136480</v>
      </c>
      <c r="M568" s="169"/>
      <c r="N568" s="169">
        <f ca="1">IFERROR(__xludf.DUMMYFUNCTION("IMPORTRANGE(""https://docs.google.com/spreadsheets/d/1XL5vhW3sbDhbH9Cz0tuDiY8C3ctxq1tqvaCgkFb8cCA/edit?usp=sharing"",""มุกดาหาร!M463"")"),90179.3)</f>
        <v>90179.3</v>
      </c>
      <c r="O568" s="169">
        <f t="shared" ca="1" si="122"/>
        <v>66.075102579132476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IFERROR(__xludf.DUMMYFUNCTION("IMPORTRANGE(""https://docs.google.com/spreadsheets/d/1XL5vhW3sbDhbH9Cz0tuDiY8C3ctxq1tqvaCgkFb8cCA/edit?usp=sharing"",""มุกดาหาร!M464"")"),0)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IFERROR(__xludf.DUMMYFUNCTION("IMPORTRANGE(""https://docs.google.com/spreadsheets/d/1XL5vhW3sbDhbH9Cz0tuDiY8C3ctxq1tqvaCgkFb8cCA/edit?usp=sharing"",""มุกดาหาร!M465"")"),0)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IFERROR(__xludf.DUMMYFUNCTION("IMPORTRANGE(""https://docs.google.com/spreadsheets/d/1XL5vhW3sbDhbH9Cz0tuDiY8C3ctxq1tqvaCgkFb8cCA/edit?usp=sharing"",""มุกดาหาร!M466"")"),60133)</f>
        <v>60133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IFERROR(__xludf.DUMMYFUNCTION("IMPORTRANGE(""https://docs.google.com/spreadsheets/d/1XL5vhW3sbDhbH9Cz0tuDiY8C3ctxq1tqvaCgkFb8cCA/edit?usp=sharing"",""มุกดาหาร!M467"")"),30046.3)</f>
        <v>30046.3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IFERROR(__xludf.DUMMYFUNCTION("IMPORTRANGE(""https://docs.google.com/spreadsheets/d/1XL5vhW3sbDhbH9Cz0tuDiY8C3ctxq1tqvaCgkFb8cCA/edit?usp=sharing"",""มุกดาหาร!I468"")"),1800)</f>
        <v>1800</v>
      </c>
      <c r="J573" s="420">
        <f ca="1">IFERROR(__xludf.DUMMYFUNCTION("IMPORTRANGE(""https://docs.google.com/spreadsheets/d/1XL5vhW3sbDhbH9Cz0tuDiY8C3ctxq1tqvaCgkFb8cCA/edit?usp=sharing"",""มุกดาหาร!J468"")"),1893)</f>
        <v>1893</v>
      </c>
      <c r="K573" s="202">
        <f ca="1">IF(I573&gt;0,J573*100/I573,0)</f>
        <v>105.16666666666667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IFERROR(__xludf.DUMMYFUNCTION("IMPORTRANGE(""https://docs.google.com/spreadsheets/d/1XL5vhW3sbDhbH9Cz0tuDiY8C3ctxq1tqvaCgkFb8cCA/edit?usp=sharing"",""มุกดาหาร!I470"")"),0)</f>
        <v>0</v>
      </c>
      <c r="J575" s="198">
        <f ca="1">IFERROR(__xludf.DUMMYFUNCTION("IMPORTRANGE(""https://docs.google.com/spreadsheets/d/1XL5vhW3sbDhbH9Cz0tuDiY8C3ctxq1tqvaCgkFb8cCA/edit?usp=sharing"",""มุกดาหาร!J470"")"),3)</f>
        <v>3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IFERROR(__xludf.DUMMYFUNCTION("IMPORTRANGE(""https://docs.google.com/spreadsheets/d/1XL5vhW3sbDhbH9Cz0tuDiY8C3ctxq1tqvaCgkFb8cCA/edit?usp=sharing"",""มุกดาหาร!I471"")"),0)</f>
        <v>0</v>
      </c>
      <c r="J576" s="198">
        <f ca="1">IFERROR(__xludf.DUMMYFUNCTION("IMPORTRANGE(""https://docs.google.com/spreadsheets/d/1XL5vhW3sbDhbH9Cz0tuDiY8C3ctxq1tqvaCgkFb8cCA/edit?usp=sharing"",""มุกดาหาร!J471"")"),238)</f>
        <v>238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IFERROR(__xludf.DUMMYFUNCTION("IMPORTRANGE(""https://docs.google.com/spreadsheets/d/1XL5vhW3sbDhbH9Cz0tuDiY8C3ctxq1tqvaCgkFb8cCA/edit?usp=sharing"",""มุกดาหาร!I472"")"),0)</f>
        <v>0</v>
      </c>
      <c r="J577" s="189">
        <f ca="1">IFERROR(__xludf.DUMMYFUNCTION("IMPORTRANGE(""https://docs.google.com/spreadsheets/d/1XL5vhW3sbDhbH9Cz0tuDiY8C3ctxq1tqvaCgkFb8cCA/edit?usp=sharing"",""มุกดาหาร!J472"")"),1655)</f>
        <v>1655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IFERROR(__xludf.DUMMYFUNCTION("IMPORTRANGE(""https://docs.google.com/spreadsheets/d/1XL5vhW3sbDhbH9Cz0tuDiY8C3ctxq1tqvaCgkFb8cCA/edit?usp=sharing"",""มุกดาหาร!I473"")"),0)</f>
        <v>0</v>
      </c>
      <c r="J578" s="198">
        <f ca="1">IFERROR(__xludf.DUMMYFUNCTION("IMPORTRANGE(""https://docs.google.com/spreadsheets/d/1XL5vhW3sbDhbH9Cz0tuDiY8C3ctxq1tqvaCgkFb8cCA/edit?usp=sharing"",""มุกดาหาร!J473"")"),0)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IFERROR(__xludf.DUMMYFUNCTION("IMPORTRANGE(""https://docs.google.com/spreadsheets/d/1XL5vhW3sbDhbH9Cz0tuDiY8C3ctxq1tqvaCgkFb8cCA/edit?usp=sharing"",""มุกดาหาร!I474"")"),0)</f>
        <v>0</v>
      </c>
      <c r="J579" s="198">
        <f ca="1">IFERROR(__xludf.DUMMYFUNCTION("IMPORTRANGE(""https://docs.google.com/spreadsheets/d/1XL5vhW3sbDhbH9Cz0tuDiY8C3ctxq1tqvaCgkFb8cCA/edit?usp=sharing"",""มุกดาหาร!J474"")"),0)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IFERROR(__xludf.DUMMYFUNCTION("IMPORTRANGE(""https://docs.google.com/spreadsheets/d/1XL5vhW3sbDhbH9Cz0tuDiY8C3ctxq1tqvaCgkFb8cCA/edit?usp=sharing"",""มุกดาหาร!I475"")"),40)</f>
        <v>40</v>
      </c>
      <c r="J580" s="371">
        <f ca="1">IFERROR(__xludf.DUMMYFUNCTION("IMPORTRANGE(""https://docs.google.com/spreadsheets/d/1XL5vhW3sbDhbH9Cz0tuDiY8C3ctxq1tqvaCgkFb8cCA/edit?usp=sharing"",""มุกดาหาร!J475"")"),0)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IFERROR(__xludf.DUMMYFUNCTION("IMPORTRANGE(""https://docs.google.com/spreadsheets/d/1XL5vhW3sbDhbH9Cz0tuDiY8C3ctxq1tqvaCgkFb8cCA/edit?usp=sharing"",""มุกดาหาร!L475"")"),134440)</f>
        <v>134440</v>
      </c>
      <c r="M580" s="373"/>
      <c r="N580" s="373">
        <f ca="1">IFERROR(__xludf.DUMMYFUNCTION("IMPORTRANGE(""https://docs.google.com/spreadsheets/d/1XL5vhW3sbDhbH9Cz0tuDiY8C3ctxq1tqvaCgkFb8cCA/edit?usp=sharing"",""มุกดาหาร!M475"")"),78080)</f>
        <v>78080</v>
      </c>
      <c r="O580" s="373">
        <f t="shared" ref="O580:O584" ca="1" si="124">+IF(L580&gt;0,N580*100/L580,0)</f>
        <v>58.077952990181494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IFERROR(__xludf.DUMMYFUNCTION("IMPORTRANGE(""https://docs.google.com/spreadsheets/d/1XL5vhW3sbDhbH9Cz0tuDiY8C3ctxq1tqvaCgkFb8cCA/edit?usp=sharing"",""มุกดาหาร!L476"")"),0)</f>
        <v>0</v>
      </c>
      <c r="M581" s="164"/>
      <c r="N581" s="169">
        <f ca="1">IFERROR(__xludf.DUMMYFUNCTION("IMPORTRANGE(""https://docs.google.com/spreadsheets/d/1XL5vhW3sbDhbH9Cz0tuDiY8C3ctxq1tqvaCgkFb8cCA/edit?usp=sharing"",""มุกดาหาร!M476"")"),0)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IFERROR(__xludf.DUMMYFUNCTION("IMPORTRANGE(""https://docs.google.com/spreadsheets/d/1XL5vhW3sbDhbH9Cz0tuDiY8C3ctxq1tqvaCgkFb8cCA/edit?usp=sharing"",""มุกดาหาร!L477"")"),134440)</f>
        <v>134440</v>
      </c>
      <c r="M582" s="165"/>
      <c r="N582" s="169">
        <f ca="1">IFERROR(__xludf.DUMMYFUNCTION("IMPORTRANGE(""https://docs.google.com/spreadsheets/d/1XL5vhW3sbDhbH9Cz0tuDiY8C3ctxq1tqvaCgkFb8cCA/edit?usp=sharing"",""มุกดาหาร!M477"")"),78080)</f>
        <v>78080</v>
      </c>
      <c r="O582" s="169">
        <f t="shared" ca="1" si="124"/>
        <v>58.077952990181494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IFERROR(__xludf.DUMMYFUNCTION("IMPORTRANGE(""https://docs.google.com/spreadsheets/d/1XL5vhW3sbDhbH9Cz0tuDiY8C3ctxq1tqvaCgkFb8cCA/edit?usp=sharing"",""มุกดาหาร!L478"")"),0)</f>
        <v>0</v>
      </c>
      <c r="M583" s="169"/>
      <c r="N583" s="169">
        <f ca="1">IFERROR(__xludf.DUMMYFUNCTION("IMPORTRANGE(""https://docs.google.com/spreadsheets/d/1XL5vhW3sbDhbH9Cz0tuDiY8C3ctxq1tqvaCgkFb8cCA/edit?usp=sharing"",""มุกดาหาร!M478"")"),0)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IFERROR(__xludf.DUMMYFUNCTION("IMPORTRANGE(""https://docs.google.com/spreadsheets/d/1XL5vhW3sbDhbH9Cz0tuDiY8C3ctxq1tqvaCgkFb8cCA/edit?usp=sharing"",""มุกดาหาร!L479"")"),134440)</f>
        <v>134440</v>
      </c>
      <c r="M584" s="169"/>
      <c r="N584" s="169">
        <f ca="1">IFERROR(__xludf.DUMMYFUNCTION("IMPORTRANGE(""https://docs.google.com/spreadsheets/d/1XL5vhW3sbDhbH9Cz0tuDiY8C3ctxq1tqvaCgkFb8cCA/edit?usp=sharing"",""มุกดาหาร!M479"")"),78080)</f>
        <v>78080</v>
      </c>
      <c r="O584" s="169">
        <f t="shared" ca="1" si="124"/>
        <v>58.077952990181494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IFERROR(__xludf.DUMMYFUNCTION("IMPORTRANGE(""https://docs.google.com/spreadsheets/d/1XL5vhW3sbDhbH9Cz0tuDiY8C3ctxq1tqvaCgkFb8cCA/edit?usp=sharing"",""มุกดาหาร!M480"")"),0)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IFERROR(__xludf.DUMMYFUNCTION("IMPORTRANGE(""https://docs.google.com/spreadsheets/d/1XL5vhW3sbDhbH9Cz0tuDiY8C3ctxq1tqvaCgkFb8cCA/edit?usp=sharing"",""มุกดาหาร!M481"")"),0)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IFERROR(__xludf.DUMMYFUNCTION("IMPORTRANGE(""https://docs.google.com/spreadsheets/d/1XL5vhW3sbDhbH9Cz0tuDiY8C3ctxq1tqvaCgkFb8cCA/edit?usp=sharing"",""มุกดาหาร!M482"")"),0)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IFERROR(__xludf.DUMMYFUNCTION("IMPORTRANGE(""https://docs.google.com/spreadsheets/d/1XL5vhW3sbDhbH9Cz0tuDiY8C3ctxq1tqvaCgkFb8cCA/edit?usp=sharing"",""มุกดาหาร!M483"")"),78080)</f>
        <v>78080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IFERROR(__xludf.DUMMYFUNCTION("IMPORTRANGE(""https://docs.google.com/spreadsheets/d/1XL5vhW3sbDhbH9Cz0tuDiY8C3ctxq1tqvaCgkFb8cCA/edit?usp=sharing"",""มุกดาหาร!I484"")"),40)</f>
        <v>40</v>
      </c>
      <c r="J589" s="188">
        <f ca="1">IFERROR(__xludf.DUMMYFUNCTION("IMPORTRANGE(""https://docs.google.com/spreadsheets/d/1XL5vhW3sbDhbH9Cz0tuDiY8C3ctxq1tqvaCgkFb8cCA/edit?usp=sharing"",""มุกดาหาร!J484"")"),47)</f>
        <v>47</v>
      </c>
      <c r="K589" s="163">
        <f t="shared" ref="K589:K596" ca="1" si="125">IF(I589&gt;0,J589*100/I589,0)</f>
        <v>117.5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IFERROR(__xludf.DUMMYFUNCTION("IMPORTRANGE(""https://docs.google.com/spreadsheets/d/1XL5vhW3sbDhbH9Cz0tuDiY8C3ctxq1tqvaCgkFb8cCA/edit?usp=sharing"",""มุกดาหาร!I485"")"),0)</f>
        <v>0</v>
      </c>
      <c r="J590" s="188">
        <f ca="1">IFERROR(__xludf.DUMMYFUNCTION("IMPORTRANGE(""https://docs.google.com/spreadsheets/d/1XL5vhW3sbDhbH9Cz0tuDiY8C3ctxq1tqvaCgkFb8cCA/edit?usp=sharing"",""มุกดาหาร!J485"")"),34.64)</f>
        <v>34.64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IFERROR(__xludf.DUMMYFUNCTION("IMPORTRANGE(""https://docs.google.com/spreadsheets/d/1XL5vhW3sbDhbH9Cz0tuDiY8C3ctxq1tqvaCgkFb8cCA/edit?usp=sharing"",""มุกดาหาร!I486"")"),40)</f>
        <v>40</v>
      </c>
      <c r="J591" s="188">
        <f ca="1">IFERROR(__xludf.DUMMYFUNCTION("IMPORTRANGE(""https://docs.google.com/spreadsheets/d/1XL5vhW3sbDhbH9Cz0tuDiY8C3ctxq1tqvaCgkFb8cCA/edit?usp=sharing"",""มุกดาหาร!J486"")"),41)</f>
        <v>41</v>
      </c>
      <c r="K591" s="163">
        <f t="shared" ca="1" si="125"/>
        <v>102.5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IFERROR(__xludf.DUMMYFUNCTION("IMPORTRANGE(""https://docs.google.com/spreadsheets/d/1XL5vhW3sbDhbH9Cz0tuDiY8C3ctxq1tqvaCgkFb8cCA/edit?usp=sharing"",""มุกดาหาร!I487"")"),0)</f>
        <v>0</v>
      </c>
      <c r="J592" s="188">
        <f ca="1">IFERROR(__xludf.DUMMYFUNCTION("IMPORTRANGE(""https://docs.google.com/spreadsheets/d/1XL5vhW3sbDhbH9Cz0tuDiY8C3ctxq1tqvaCgkFb8cCA/edit?usp=sharing"",""มุกดาหาร!J487"")"),33.12)</f>
        <v>33.119999999999997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IFERROR(__xludf.DUMMYFUNCTION("IMPORTRANGE(""https://docs.google.com/spreadsheets/d/1XL5vhW3sbDhbH9Cz0tuDiY8C3ctxq1tqvaCgkFb8cCA/edit?usp=sharing"",""มุกดาหาร!I488"")"),40)</f>
        <v>40</v>
      </c>
      <c r="J593" s="188">
        <f ca="1">IFERROR(__xludf.DUMMYFUNCTION("IMPORTRANGE(""https://docs.google.com/spreadsheets/d/1XL5vhW3sbDhbH9Cz0tuDiY8C3ctxq1tqvaCgkFb8cCA/edit?usp=sharing"",""มุกดาหาร!J488"")"),16)</f>
        <v>16</v>
      </c>
      <c r="K593" s="163">
        <f t="shared" ca="1" si="125"/>
        <v>40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IFERROR(__xludf.DUMMYFUNCTION("IMPORTRANGE(""https://docs.google.com/spreadsheets/d/1XL5vhW3sbDhbH9Cz0tuDiY8C3ctxq1tqvaCgkFb8cCA/edit?usp=sharing"",""มุกดาหาร!I489"")"),0)</f>
        <v>0</v>
      </c>
      <c r="J594" s="188">
        <f ca="1">IFERROR(__xludf.DUMMYFUNCTION("IMPORTRANGE(""https://docs.google.com/spreadsheets/d/1XL5vhW3sbDhbH9Cz0tuDiY8C3ctxq1tqvaCgkFb8cCA/edit?usp=sharing"",""มุกดาหาร!J489"")"),9.4)</f>
        <v>9.4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IFERROR(__xludf.DUMMYFUNCTION("IMPORTRANGE(""https://docs.google.com/spreadsheets/d/1XL5vhW3sbDhbH9Cz0tuDiY8C3ctxq1tqvaCgkFb8cCA/edit?usp=sharing"",""มุกดาหาร!I490"")"),40)</f>
        <v>40</v>
      </c>
      <c r="J595" s="188">
        <f ca="1">IFERROR(__xludf.DUMMYFUNCTION("IMPORTRANGE(""https://docs.google.com/spreadsheets/d/1XL5vhW3sbDhbH9Cz0tuDiY8C3ctxq1tqvaCgkFb8cCA/edit?usp=sharing"",""มุกดาหาร!J490"")"),0)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IFERROR(__xludf.DUMMYFUNCTION("IMPORTRANGE(""https://docs.google.com/spreadsheets/d/1XL5vhW3sbDhbH9Cz0tuDiY8C3ctxq1tqvaCgkFb8cCA/edit?usp=sharing"",""มุกดาหาร!I491"")"),0)</f>
        <v>0</v>
      </c>
      <c r="J596" s="241">
        <f ca="1">IFERROR(__xludf.DUMMYFUNCTION("IMPORTRANGE(""https://docs.google.com/spreadsheets/d/1XL5vhW3sbDhbH9Cz0tuDiY8C3ctxq1tqvaCgkFb8cCA/edit?usp=sharing"",""มุกดาหาร!J491"")"),0)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IFERROR(__xludf.DUMMYFUNCTION("IMPORTRANGE(""https://docs.google.com/spreadsheets/d/1XL5vhW3sbDhbH9Cz0tuDiY8C3ctxq1tqvaCgkFb8cCA/edit?usp=sharing"",""มุกดาหาร!I492"")"),100)</f>
        <v>100</v>
      </c>
      <c r="J597" s="487">
        <f ca="1">IFERROR(__xludf.DUMMYFUNCTION("IMPORTRANGE(""https://docs.google.com/spreadsheets/d/1XL5vhW3sbDhbH9Cz0tuDiY8C3ctxq1tqvaCgkFb8cCA/edit?usp=sharing"",""มุกดาหาร!J492"")"),0)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IFERROR(__xludf.DUMMYFUNCTION("IMPORTRANGE(""https://docs.google.com/spreadsheets/d/1XL5vhW3sbDhbH9Cz0tuDiY8C3ctxq1tqvaCgkFb8cCA/edit?usp=sharing"",""มุกดาหาร!L492"")"),8100)</f>
        <v>8100</v>
      </c>
      <c r="M597" s="412"/>
      <c r="N597" s="412">
        <f ca="1">IFERROR(__xludf.DUMMYFUNCTION("IMPORTRANGE(""https://docs.google.com/spreadsheets/d/1XL5vhW3sbDhbH9Cz0tuDiY8C3ctxq1tqvaCgkFb8cCA/edit?usp=sharing"",""มุกดาหาร!M492"")"),800)</f>
        <v>800</v>
      </c>
      <c r="O597" s="412">
        <f t="shared" ref="O597:O601" ca="1" si="126">+IF(L597&gt;0,N597*100/L597,0)</f>
        <v>9.8765432098765427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IFERROR(__xludf.DUMMYFUNCTION("IMPORTRANGE(""https://docs.google.com/spreadsheets/d/1XL5vhW3sbDhbH9Cz0tuDiY8C3ctxq1tqvaCgkFb8cCA/edit?usp=sharing"",""มุกดาหาร!L493"")"),0)</f>
        <v>0</v>
      </c>
      <c r="M598" s="164"/>
      <c r="N598" s="169">
        <f ca="1">IFERROR(__xludf.DUMMYFUNCTION("IMPORTRANGE(""https://docs.google.com/spreadsheets/d/1XL5vhW3sbDhbH9Cz0tuDiY8C3ctxq1tqvaCgkFb8cCA/edit?usp=sharing"",""มุกดาหาร!M493"")"),0)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IFERROR(__xludf.DUMMYFUNCTION("IMPORTRANGE(""https://docs.google.com/spreadsheets/d/1XL5vhW3sbDhbH9Cz0tuDiY8C3ctxq1tqvaCgkFb8cCA/edit?usp=sharing"",""มุกดาหาร!L494"")"),8100)</f>
        <v>8100</v>
      </c>
      <c r="M599" s="165"/>
      <c r="N599" s="169">
        <f ca="1">IFERROR(__xludf.DUMMYFUNCTION("IMPORTRANGE(""https://docs.google.com/spreadsheets/d/1XL5vhW3sbDhbH9Cz0tuDiY8C3ctxq1tqvaCgkFb8cCA/edit?usp=sharing"",""มุกดาหาร!M494"")"),800)</f>
        <v>800</v>
      </c>
      <c r="O599" s="169">
        <f t="shared" ca="1" si="126"/>
        <v>9.8765432098765427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IFERROR(__xludf.DUMMYFUNCTION("IMPORTRANGE(""https://docs.google.com/spreadsheets/d/1XL5vhW3sbDhbH9Cz0tuDiY8C3ctxq1tqvaCgkFb8cCA/edit?usp=sharing"",""มุกดาหาร!L495"")"),0)</f>
        <v>0</v>
      </c>
      <c r="M600" s="169"/>
      <c r="N600" s="169">
        <f ca="1">IFERROR(__xludf.DUMMYFUNCTION("IMPORTRANGE(""https://docs.google.com/spreadsheets/d/1XL5vhW3sbDhbH9Cz0tuDiY8C3ctxq1tqvaCgkFb8cCA/edit?usp=sharing"",""มุกดาหาร!M495"")"),0)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IFERROR(__xludf.DUMMYFUNCTION("IMPORTRANGE(""https://docs.google.com/spreadsheets/d/1XL5vhW3sbDhbH9Cz0tuDiY8C3ctxq1tqvaCgkFb8cCA/edit?usp=sharing"",""มุกดาหาร!L496"")"),8100)</f>
        <v>8100</v>
      </c>
      <c r="M601" s="169"/>
      <c r="N601" s="169">
        <f ca="1">IFERROR(__xludf.DUMMYFUNCTION("IMPORTRANGE(""https://docs.google.com/spreadsheets/d/1XL5vhW3sbDhbH9Cz0tuDiY8C3ctxq1tqvaCgkFb8cCA/edit?usp=sharing"",""มุกดาหาร!M496"")"),800)</f>
        <v>800</v>
      </c>
      <c r="O601" s="169">
        <f t="shared" ca="1" si="126"/>
        <v>9.8765432098765427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IFERROR(__xludf.DUMMYFUNCTION("IMPORTRANGE(""https://docs.google.com/spreadsheets/d/1XL5vhW3sbDhbH9Cz0tuDiY8C3ctxq1tqvaCgkFb8cCA/edit?usp=sharing"",""มุกดาหาร!M497"")"),0)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IFERROR(__xludf.DUMMYFUNCTION("IMPORTRANGE(""https://docs.google.com/spreadsheets/d/1XL5vhW3sbDhbH9Cz0tuDiY8C3ctxq1tqvaCgkFb8cCA/edit?usp=sharing"",""มุกดาหาร!M498"")"),0)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IFERROR(__xludf.DUMMYFUNCTION("IMPORTRANGE(""https://docs.google.com/spreadsheets/d/1XL5vhW3sbDhbH9Cz0tuDiY8C3ctxq1tqvaCgkFb8cCA/edit?usp=sharing"",""มุกดาหาร!M499"")"),0)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IFERROR(__xludf.DUMMYFUNCTION("IMPORTRANGE(""https://docs.google.com/spreadsheets/d/1XL5vhW3sbDhbH9Cz0tuDiY8C3ctxq1tqvaCgkFb8cCA/edit?usp=sharing"",""มุกดาหาร!M500"")"),800)</f>
        <v>800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IFERROR(__xludf.DUMMYFUNCTION("IMPORTRANGE(""https://docs.google.com/spreadsheets/d/1XL5vhW3sbDhbH9Cz0tuDiY8C3ctxq1tqvaCgkFb8cCA/edit?usp=sharing"",""มุกดาหาร!J502"")"),0)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IFERROR(__xludf.DUMMYFUNCTION("IMPORTRANGE(""https://docs.google.com/spreadsheets/d/1XL5vhW3sbDhbH9Cz0tuDiY8C3ctxq1tqvaCgkFb8cCA/edit?usp=sharing"",""มุกดาหาร!J503"")"),1)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539"/>
      <c r="B609" s="540"/>
      <c r="C609" s="540"/>
      <c r="D609" s="541"/>
      <c r="E609" s="542" t="s">
        <v>46</v>
      </c>
      <c r="F609" s="543"/>
      <c r="G609" s="544"/>
      <c r="H609" s="545"/>
      <c r="I609" s="546"/>
      <c r="J609" s="546">
        <f ca="1">IFERROR(__xludf.DUMMYFUNCTION("IMPORTRANGE(""https://docs.google.com/spreadsheets/d/1XL5vhW3sbDhbH9Cz0tuDiY8C3ctxq1tqvaCgkFb8cCA/edit?usp=sharing"",""มุกดาหาร!J166"")"),0)</f>
        <v>0</v>
      </c>
      <c r="K609" s="547"/>
      <c r="L609" s="548"/>
      <c r="M609" s="548"/>
      <c r="N609" s="548"/>
      <c r="O609" s="548"/>
      <c r="P609" s="548"/>
    </row>
    <row r="610" spans="1:16" ht="21.75" hidden="1" customHeight="1" x14ac:dyDescent="0.35">
      <c r="A610" s="539"/>
      <c r="B610" s="540"/>
      <c r="C610" s="540"/>
      <c r="D610" s="541"/>
      <c r="E610" s="542" t="s">
        <v>47</v>
      </c>
      <c r="F610" s="543"/>
      <c r="G610" s="544"/>
      <c r="H610" s="545"/>
      <c r="I610" s="546"/>
      <c r="J610" s="546">
        <f ca="1">IFERROR(__xludf.DUMMYFUNCTION("IMPORTRANGE(""https://docs.google.com/spreadsheets/d/1XL5vhW3sbDhbH9Cz0tuDiY8C3ctxq1tqvaCgkFb8cCA/edit?usp=sharing"",""มุกดาหาร!J166"")"),0)</f>
        <v>0</v>
      </c>
      <c r="K610" s="547"/>
      <c r="L610" s="548"/>
      <c r="M610" s="548"/>
      <c r="N610" s="548"/>
      <c r="O610" s="548"/>
      <c r="P610" s="548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IFERROR(__xludf.DUMMYFUNCTION("IMPORTRANGE(""https://docs.google.com/spreadsheets/d/1XL5vhW3sbDhbH9Cz0tuDiY8C3ctxq1tqvaCgkFb8cCA/edit?usp=sharing"",""มุกดาหาร!I506"")"),100)</f>
        <v>100</v>
      </c>
      <c r="J611" s="162">
        <f ca="1">IFERROR(__xludf.DUMMYFUNCTION("IMPORTRANGE(""https://docs.google.com/spreadsheets/d/1XL5vhW3sbDhbH9Cz0tuDiY8C3ctxq1tqvaCgkFb8cCA/edit?usp=sharing"",""มุกดาหาร!J506"")"),0)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IFERROR(__xludf.DUMMYFUNCTION("IMPORTRANGE(""https://docs.google.com/spreadsheets/d/1XL5vhW3sbDhbH9Cz0tuDiY8C3ctxq1tqvaCgkFb8cCA/edit?usp=sharing"",""มุกดาหาร!I507"")"),0)</f>
        <v>0</v>
      </c>
      <c r="J612" s="198">
        <f ca="1">IFERROR(__xludf.DUMMYFUNCTION("IMPORTRANGE(""https://docs.google.com/spreadsheets/d/1XL5vhW3sbDhbH9Cz0tuDiY8C3ctxq1tqvaCgkFb8cCA/edit?usp=sharing"",""มุกดาหาร!J507"")"),0)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IFERROR(__xludf.DUMMYFUNCTION("IMPORTRANGE(""https://docs.google.com/spreadsheets/d/1XL5vhW3sbDhbH9Cz0tuDiY8C3ctxq1tqvaCgkFb8cCA/edit?usp=sharing"",""มุกดาหาร!I508"")"),0)</f>
        <v>0</v>
      </c>
      <c r="J613" s="198">
        <f ca="1">IFERROR(__xludf.DUMMYFUNCTION("IMPORTRANGE(""https://docs.google.com/spreadsheets/d/1XL5vhW3sbDhbH9Cz0tuDiY8C3ctxq1tqvaCgkFb8cCA/edit?usp=sharing"",""มุกดาหาร!J508"")"),0)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IFERROR(__xludf.DUMMYFUNCTION("IMPORTRANGE(""https://docs.google.com/spreadsheets/d/1XL5vhW3sbDhbH9Cz0tuDiY8C3ctxq1tqvaCgkFb8cCA/edit?usp=sharing"",""มุกดาหาร!I509"")"),0)</f>
        <v>0</v>
      </c>
      <c r="J614" s="198">
        <f ca="1">IFERROR(__xludf.DUMMYFUNCTION("IMPORTRANGE(""https://docs.google.com/spreadsheets/d/1XL5vhW3sbDhbH9Cz0tuDiY8C3ctxq1tqvaCgkFb8cCA/edit?usp=sharing"",""มุกดาหาร!J509"")"),0)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IFERROR(__xludf.DUMMYFUNCTION("IMPORTRANGE(""https://docs.google.com/spreadsheets/d/1XL5vhW3sbDhbH9Cz0tuDiY8C3ctxq1tqvaCgkFb8cCA/edit?usp=sharing"",""มุกดาหาร!I510"")"),0)</f>
        <v>0</v>
      </c>
      <c r="J615" s="198">
        <f ca="1">IFERROR(__xludf.DUMMYFUNCTION("IMPORTRANGE(""https://docs.google.com/spreadsheets/d/1XL5vhW3sbDhbH9Cz0tuDiY8C3ctxq1tqvaCgkFb8cCA/edit?usp=sharing"",""มุกดาหาร!J510"")"),0)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IFERROR(__xludf.DUMMYFUNCTION("IMPORTRANGE(""https://docs.google.com/spreadsheets/d/1XL5vhW3sbDhbH9Cz0tuDiY8C3ctxq1tqvaCgkFb8cCA/edit?usp=sharing"",""มุกดาหาร!I511"")"),0)</f>
        <v>0</v>
      </c>
      <c r="J616" s="198">
        <f ca="1">IFERROR(__xludf.DUMMYFUNCTION("IMPORTRANGE(""https://docs.google.com/spreadsheets/d/1XL5vhW3sbDhbH9Cz0tuDiY8C3ctxq1tqvaCgkFb8cCA/edit?usp=sharing"",""มุกดาหาร!J511"")"),0)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IFERROR(__xludf.DUMMYFUNCTION("IMPORTRANGE(""https://docs.google.com/spreadsheets/d/1XL5vhW3sbDhbH9Cz0tuDiY8C3ctxq1tqvaCgkFb8cCA/edit?usp=sharing"",""มุกดาหาร!I512"")"),0)</f>
        <v>0</v>
      </c>
      <c r="J617" s="188">
        <f ca="1">IFERROR(__xludf.DUMMYFUNCTION("IMPORTRANGE(""https://docs.google.com/spreadsheets/d/1XL5vhW3sbDhbH9Cz0tuDiY8C3ctxq1tqvaCgkFb8cCA/edit?usp=sharing"",""มุกดาหาร!J512"")"),0)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IFERROR(__xludf.DUMMYFUNCTION("IMPORTRANGE(""https://docs.google.com/spreadsheets/d/1XL5vhW3sbDhbH9Cz0tuDiY8C3ctxq1tqvaCgkFb8cCA/edit?usp=sharing"",""มุกดาหาร!I513"")"),0)</f>
        <v>0</v>
      </c>
      <c r="J618" s="189">
        <f ca="1">IFERROR(__xludf.DUMMYFUNCTION("IMPORTRANGE(""https://docs.google.com/spreadsheets/d/1XL5vhW3sbDhbH9Cz0tuDiY8C3ctxq1tqvaCgkFb8cCA/edit?usp=sharing"",""มุกดาหาร!J513"")"),0)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IFERROR(__xludf.DUMMYFUNCTION("IMPORTRANGE(""https://docs.google.com/spreadsheets/d/1XL5vhW3sbDhbH9Cz0tuDiY8C3ctxq1tqvaCgkFb8cCA/edit?usp=sharing"",""มุกดาหาร!I514"")"),0)</f>
        <v>0</v>
      </c>
      <c r="J619" s="189">
        <f ca="1">IFERROR(__xludf.DUMMYFUNCTION("IMPORTRANGE(""https://docs.google.com/spreadsheets/d/1XL5vhW3sbDhbH9Cz0tuDiY8C3ctxq1tqvaCgkFb8cCA/edit?usp=sharing"",""มุกดาหาร!J514"")"),0)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IFERROR(__xludf.DUMMYFUNCTION("IMPORTRANGE(""https://docs.google.com/spreadsheets/d/1XL5vhW3sbDhbH9Cz0tuDiY8C3ctxq1tqvaCgkFb8cCA/edit?usp=sharing"",""มุกดาหาร!I515"")"),0)</f>
        <v>0</v>
      </c>
      <c r="J620" s="203">
        <f ca="1">IFERROR(__xludf.DUMMYFUNCTION("IMPORTRANGE(""https://docs.google.com/spreadsheets/d/1XL5vhW3sbDhbH9Cz0tuDiY8C3ctxq1tqvaCgkFb8cCA/edit?usp=sharing"",""มุกดาหาร!J515"")"),0)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IFERROR(__xludf.DUMMYFUNCTION("IMPORTRANGE(""https://docs.google.com/spreadsheets/d/1XL5vhW3sbDhbH9Cz0tuDiY8C3ctxq1tqvaCgkFb8cCA/edit?usp=sharing"",""มุกดาหาร!I516"")"),0)</f>
        <v>0</v>
      </c>
      <c r="J621" s="203">
        <f ca="1">IFERROR(__xludf.DUMMYFUNCTION("IMPORTRANGE(""https://docs.google.com/spreadsheets/d/1XL5vhW3sbDhbH9Cz0tuDiY8C3ctxq1tqvaCgkFb8cCA/edit?usp=sharing"",""มุกดาหาร!J516"")"),0)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IFERROR(__xludf.DUMMYFUNCTION("IMPORTRANGE(""https://docs.google.com/spreadsheets/d/1XL5vhW3sbDhbH9Cz0tuDiY8C3ctxq1tqvaCgkFb8cCA/edit?usp=sharing"",""มุกดาหาร!I517"")"),0)</f>
        <v>0</v>
      </c>
      <c r="J622" s="189">
        <f ca="1">IFERROR(__xludf.DUMMYFUNCTION("IMPORTRANGE(""https://docs.google.com/spreadsheets/d/1XL5vhW3sbDhbH9Cz0tuDiY8C3ctxq1tqvaCgkFb8cCA/edit?usp=sharing"",""มุกดาหาร!J517"")"),0)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IFERROR(__xludf.DUMMYFUNCTION("IMPORTRANGE(""https://docs.google.com/spreadsheets/d/1XL5vhW3sbDhbH9Cz0tuDiY8C3ctxq1tqvaCgkFb8cCA/edit?usp=sharing"",""มุกดาหาร!I518"")"),0)</f>
        <v>0</v>
      </c>
      <c r="J623" s="189">
        <f ca="1">IFERROR(__xludf.DUMMYFUNCTION("IMPORTRANGE(""https://docs.google.com/spreadsheets/d/1XL5vhW3sbDhbH9Cz0tuDiY8C3ctxq1tqvaCgkFb8cCA/edit?usp=sharing"",""มุกดาหาร!J518"")"),0)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IFERROR(__xludf.DUMMYFUNCTION("IMPORTRANGE(""https://docs.google.com/spreadsheets/d/1XL5vhW3sbDhbH9Cz0tuDiY8C3ctxq1tqvaCgkFb8cCA/edit?usp=sharing"",""มุกดาหาร!I519"")"),0)</f>
        <v>0</v>
      </c>
      <c r="J624" s="188">
        <f ca="1">IFERROR(__xludf.DUMMYFUNCTION("IMPORTRANGE(""https://docs.google.com/spreadsheets/d/1XL5vhW3sbDhbH9Cz0tuDiY8C3ctxq1tqvaCgkFb8cCA/edit?usp=sharing"",""มุกดาหาร!J519"")"),0)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IFERROR(__xludf.DUMMYFUNCTION("IMPORTRANGE(""https://docs.google.com/spreadsheets/d/1XL5vhW3sbDhbH9Cz0tuDiY8C3ctxq1tqvaCgkFb8cCA/edit?usp=sharing"",""มุกดาหาร!I520"")"),0)</f>
        <v>0</v>
      </c>
      <c r="J625" s="189">
        <f ca="1">IFERROR(__xludf.DUMMYFUNCTION("IMPORTRANGE(""https://docs.google.com/spreadsheets/d/1XL5vhW3sbDhbH9Cz0tuDiY8C3ctxq1tqvaCgkFb8cCA/edit?usp=sharing"",""มุกดาหาร!J520"")"),0)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IFERROR(__xludf.DUMMYFUNCTION("IMPORTRANGE(""https://docs.google.com/spreadsheets/d/1XL5vhW3sbDhbH9Cz0tuDiY8C3ctxq1tqvaCgkFb8cCA/edit?usp=sharing"",""มุกดาหาร!I521"")"),0)</f>
        <v>0</v>
      </c>
      <c r="J626" s="189">
        <f ca="1">IFERROR(__xludf.DUMMYFUNCTION("IMPORTRANGE(""https://docs.google.com/spreadsheets/d/1XL5vhW3sbDhbH9Cz0tuDiY8C3ctxq1tqvaCgkFb8cCA/edit?usp=sharing"",""มุกดาหาร!J521"")"),0)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IFERROR(__xludf.DUMMYFUNCTION("IMPORTRANGE(""https://docs.google.com/spreadsheets/d/1XL5vhW3sbDhbH9Cz0tuDiY8C3ctxq1tqvaCgkFb8cCA/edit?usp=sharing"",""มุกดาหาร!I523"")"),5345463.26)</f>
        <v>5345463.26</v>
      </c>
      <c r="J628" s="341">
        <f ca="1">IFERROR(__xludf.DUMMYFUNCTION("IMPORTRANGE(""https://docs.google.com/spreadsheets/d/1XL5vhW3sbDhbH9Cz0tuDiY8C3ctxq1tqvaCgkFb8cCA/edit?usp=sharing"",""มุกดาหาร!J523"")"),2372229.01)</f>
        <v>2372229.0099999998</v>
      </c>
      <c r="K628" s="342">
        <f t="shared" ref="K628:K635" ca="1" si="129">IF(I628&gt;0,J628*100/I628,0)</f>
        <v>44.378361511739207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IFERROR(__xludf.DUMMYFUNCTION("IMPORTRANGE(""https://docs.google.com/spreadsheets/d/1XL5vhW3sbDhbH9Cz0tuDiY8C3ctxq1tqvaCgkFb8cCA/edit?usp=sharing"",""มุกดาหาร!I524"")"),488)</f>
        <v>488</v>
      </c>
      <c r="J629" s="341">
        <f ca="1">IFERROR(__xludf.DUMMYFUNCTION("IMPORTRANGE(""https://docs.google.com/spreadsheets/d/1XL5vhW3sbDhbH9Cz0tuDiY8C3ctxq1tqvaCgkFb8cCA/edit?usp=sharing"",""มุกดาหาร!J524"")"),216)</f>
        <v>216</v>
      </c>
      <c r="K629" s="342">
        <f t="shared" ca="1" si="129"/>
        <v>44.26229508196721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IFERROR(__xludf.DUMMYFUNCTION("IMPORTRANGE(""https://docs.google.com/spreadsheets/d/1XL5vhW3sbDhbH9Cz0tuDiY8C3ctxq1tqvaCgkFb8cCA/edit?usp=sharing"",""มุกดาหาร!I525"")"),3662314.07)</f>
        <v>3662314.07</v>
      </c>
      <c r="J630" s="341">
        <f ca="1">IFERROR(__xludf.DUMMYFUNCTION("IMPORTRANGE(""https://docs.google.com/spreadsheets/d/1XL5vhW3sbDhbH9Cz0tuDiY8C3ctxq1tqvaCgkFb8cCA/edit?usp=sharing"",""มุกดาหาร!J525"")"),240938.56)</f>
        <v>240938.56</v>
      </c>
      <c r="K630" s="342">
        <f t="shared" ca="1" si="129"/>
        <v>6.5788612171101972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IFERROR(__xludf.DUMMYFUNCTION("IMPORTRANGE(""https://docs.google.com/spreadsheets/d/1XL5vhW3sbDhbH9Cz0tuDiY8C3ctxq1tqvaCgkFb8cCA/edit?usp=sharing"",""มุกดาหาร!I526"")"),225)</f>
        <v>225</v>
      </c>
      <c r="J631" s="341">
        <f ca="1">IFERROR(__xludf.DUMMYFUNCTION("IMPORTRANGE(""https://docs.google.com/spreadsheets/d/1XL5vhW3sbDhbH9Cz0tuDiY8C3ctxq1tqvaCgkFb8cCA/edit?usp=sharing"",""มุกดาหาร!J526"")"),34)</f>
        <v>34</v>
      </c>
      <c r="K631" s="342">
        <f t="shared" ca="1" si="129"/>
        <v>15.111111111111111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IFERROR(__xludf.DUMMYFUNCTION("IMPORTRANGE(""https://docs.google.com/spreadsheets/d/1XL5vhW3sbDhbH9Cz0tuDiY8C3ctxq1tqvaCgkFb8cCA/edit?usp=sharing"",""มุกดาหาร!I527"")"),0)</f>
        <v>0</v>
      </c>
      <c r="J632" s="341">
        <f ca="1">IFERROR(__xludf.DUMMYFUNCTION("IMPORTRANGE(""https://docs.google.com/spreadsheets/d/1XL5vhW3sbDhbH9Cz0tuDiY8C3ctxq1tqvaCgkFb8cCA/edit?usp=sharing"",""มุกดาหาร!J527"")"),26013.5)</f>
        <v>26013.5</v>
      </c>
      <c r="K632" s="342">
        <f t="shared" ca="1" si="129"/>
        <v>0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IFERROR(__xludf.DUMMYFUNCTION("IMPORTRANGE(""https://docs.google.com/spreadsheets/d/1XL5vhW3sbDhbH9Cz0tuDiY8C3ctxq1tqvaCgkFb8cCA/edit?usp=sharing"",""มุกดาหาร!I528"")"),0)</f>
        <v>0</v>
      </c>
      <c r="J633" s="341">
        <f ca="1">IFERROR(__xludf.DUMMYFUNCTION("IMPORTRANGE(""https://docs.google.com/spreadsheets/d/1XL5vhW3sbDhbH9Cz0tuDiY8C3ctxq1tqvaCgkFb8cCA/edit?usp=sharing"",""มุกดาหาร!J528"")"),4)</f>
        <v>4</v>
      </c>
      <c r="K633" s="342">
        <f t="shared" ca="1" si="129"/>
        <v>0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IFERROR(__xludf.DUMMYFUNCTION("IMPORTRANGE(""https://docs.google.com/spreadsheets/d/1XL5vhW3sbDhbH9Cz0tuDiY8C3ctxq1tqvaCgkFb8cCA/edit?usp=sharing"",""มุกดาหาร!I529"")"),6900000)</f>
        <v>6900000</v>
      </c>
      <c r="J634" s="341">
        <f ca="1">IFERROR(__xludf.DUMMYFUNCTION("IMPORTRANGE(""https://docs.google.com/spreadsheets/d/1XL5vhW3sbDhbH9Cz0tuDiY8C3ctxq1tqvaCgkFb8cCA/edit?usp=sharing"",""มุกดาหาร!J529"")"),0)</f>
        <v>0</v>
      </c>
      <c r="K634" s="342">
        <f t="shared" ca="1" si="129"/>
        <v>0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IFERROR(__xludf.DUMMYFUNCTION("IMPORTRANGE(""https://docs.google.com/spreadsheets/d/1XL5vhW3sbDhbH9Cz0tuDiY8C3ctxq1tqvaCgkFb8cCA/edit?usp=sharing"",""มุกดาหาร!I530"")"),162)</f>
        <v>162</v>
      </c>
      <c r="J635" s="504">
        <f ca="1">IFERROR(__xludf.DUMMYFUNCTION("IMPORTRANGE(""https://docs.google.com/spreadsheets/d/1XL5vhW3sbDhbH9Cz0tuDiY8C3ctxq1tqvaCgkFb8cCA/edit?usp=sharing"",""มุกดาหาร!J530"")"),0)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49" t="s">
        <v>237</v>
      </c>
      <c r="F636" s="549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12" sqref="J12"/>
      <selection pane="bottomLeft" activeCell="K558" sqref="K558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56" t="s">
        <v>0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</row>
    <row r="2" spans="1:16" ht="18" customHeight="1" x14ac:dyDescent="0.35">
      <c r="A2" s="556" t="s">
        <v>256</v>
      </c>
      <c r="B2" s="556"/>
      <c r="C2" s="556"/>
      <c r="D2" s="556"/>
      <c r="E2" s="556"/>
      <c r="F2" s="556"/>
      <c r="G2" s="556"/>
      <c r="H2" s="556"/>
      <c r="I2" s="556"/>
      <c r="J2" s="556"/>
      <c r="K2" s="556"/>
      <c r="L2" s="556"/>
      <c r="M2" s="556"/>
      <c r="N2" s="556"/>
      <c r="O2" s="556"/>
      <c r="P2" s="556"/>
    </row>
    <row r="3" spans="1:16" ht="18" customHeight="1" x14ac:dyDescent="0.35">
      <c r="A3" s="556" t="s">
        <v>278</v>
      </c>
      <c r="B3" s="556"/>
      <c r="C3" s="556"/>
      <c r="D3" s="556"/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6"/>
      <c r="P3" s="55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79" t="s">
        <v>2</v>
      </c>
      <c r="B5" s="565"/>
      <c r="C5" s="565"/>
      <c r="D5" s="565"/>
      <c r="E5" s="565"/>
      <c r="F5" s="565"/>
      <c r="G5" s="566"/>
      <c r="H5" s="578" t="s">
        <v>3</v>
      </c>
      <c r="I5" s="559" t="s">
        <v>4</v>
      </c>
      <c r="J5" s="560"/>
      <c r="K5" s="561"/>
      <c r="L5" s="562" t="s">
        <v>5</v>
      </c>
      <c r="M5" s="561"/>
      <c r="N5" s="563" t="s">
        <v>6</v>
      </c>
      <c r="O5" s="560"/>
      <c r="P5" s="561"/>
    </row>
    <row r="6" spans="1:16" ht="21.75" customHeight="1" x14ac:dyDescent="0.35">
      <c r="A6" s="567"/>
      <c r="B6" s="568"/>
      <c r="C6" s="568"/>
      <c r="D6" s="568"/>
      <c r="E6" s="568"/>
      <c r="F6" s="568"/>
      <c r="G6" s="569"/>
      <c r="H6" s="55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80" t="s">
        <v>15</v>
      </c>
      <c r="B7" s="560"/>
      <c r="C7" s="560"/>
      <c r="D7" s="560"/>
      <c r="E7" s="560"/>
      <c r="F7" s="560"/>
      <c r="G7" s="561"/>
      <c r="H7" s="512"/>
      <c r="I7" s="513"/>
      <c r="J7" s="513"/>
      <c r="K7" s="514"/>
      <c r="L7" s="515"/>
      <c r="M7" s="514"/>
      <c r="N7" s="515"/>
      <c r="O7" s="516"/>
      <c r="P7" s="516"/>
    </row>
    <row r="8" spans="1:16" ht="21.75" customHeight="1" x14ac:dyDescent="0.45">
      <c r="A8" s="17"/>
      <c r="B8" s="18"/>
      <c r="C8" s="19" t="s">
        <v>16</v>
      </c>
      <c r="D8" s="571" t="s">
        <v>17</v>
      </c>
      <c r="E8" s="555"/>
      <c r="F8" s="555"/>
      <c r="G8" s="555"/>
      <c r="H8" s="20" t="s">
        <v>12</v>
      </c>
      <c r="I8" s="21"/>
      <c r="J8" s="21"/>
      <c r="K8" s="22"/>
      <c r="L8" s="23">
        <f t="shared" ref="L8:N8" ca="1" si="0">L9+L10</f>
        <v>5881993</v>
      </c>
      <c r="M8" s="23">
        <f t="shared" ca="1" si="0"/>
        <v>2774255</v>
      </c>
      <c r="N8" s="23">
        <f t="shared" ca="1" si="0"/>
        <v>2406728.41</v>
      </c>
      <c r="O8" s="22">
        <f t="shared" ref="O8:O16" ca="1" si="1">IF(L8&gt;0,N8*100/L8,0)</f>
        <v>40.916886674295597</v>
      </c>
      <c r="P8" s="22">
        <f t="shared" ref="P8:P16" ca="1" si="2">IF(M8&gt;0,N8*100/M8,0)</f>
        <v>86.752241953245104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5881993</v>
      </c>
      <c r="M10" s="30">
        <f t="shared" ca="1" si="4"/>
        <v>2774255</v>
      </c>
      <c r="N10" s="30">
        <f t="shared" ca="1" si="4"/>
        <v>2406728.41</v>
      </c>
      <c r="O10" s="29">
        <f t="shared" ca="1" si="1"/>
        <v>40.916886674295597</v>
      </c>
      <c r="P10" s="29">
        <f t="shared" ca="1" si="2"/>
        <v>86.752241953245104</v>
      </c>
    </row>
    <row r="11" spans="1:16" ht="21.75" customHeight="1" x14ac:dyDescent="0.45">
      <c r="A11" s="31"/>
      <c r="B11" s="32"/>
      <c r="C11" s="33" t="s">
        <v>16</v>
      </c>
      <c r="D11" s="572" t="s">
        <v>20</v>
      </c>
      <c r="E11" s="553"/>
      <c r="F11" s="55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5642593</v>
      </c>
      <c r="M12" s="38">
        <f t="shared" ca="1" si="6"/>
        <v>2534855</v>
      </c>
      <c r="N12" s="38">
        <f t="shared" ca="1" si="6"/>
        <v>2167328.41</v>
      </c>
      <c r="O12" s="38">
        <f t="shared" ca="1" si="1"/>
        <v>38.410149553582897</v>
      </c>
      <c r="P12" s="38">
        <f t="shared" ca="1" si="2"/>
        <v>85.501080337928599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2072800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3569793</v>
      </c>
      <c r="M14" s="38">
        <f t="shared" si="8"/>
        <v>0</v>
      </c>
      <c r="N14" s="38">
        <f t="shared" ca="1" si="8"/>
        <v>534065</v>
      </c>
      <c r="O14" s="38">
        <f t="shared" ca="1" si="1"/>
        <v>14.960671389069338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2" t="s">
        <v>23</v>
      </c>
      <c r="E15" s="55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239400</v>
      </c>
      <c r="M16" s="38">
        <f t="shared" ca="1" si="10"/>
        <v>239400</v>
      </c>
      <c r="N16" s="38">
        <f t="shared" ca="1" si="10"/>
        <v>239400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80" t="s">
        <v>24</v>
      </c>
      <c r="B17" s="560"/>
      <c r="C17" s="560"/>
      <c r="D17" s="560"/>
      <c r="E17" s="560"/>
      <c r="F17" s="560"/>
      <c r="G17" s="561"/>
      <c r="H17" s="512"/>
      <c r="I17" s="513"/>
      <c r="J17" s="513"/>
      <c r="K17" s="514"/>
      <c r="L17" s="515"/>
      <c r="M17" s="514"/>
      <c r="N17" s="515"/>
      <c r="O17" s="516"/>
      <c r="P17" s="516"/>
    </row>
    <row r="18" spans="1:16" ht="21.75" customHeight="1" x14ac:dyDescent="0.45">
      <c r="A18" s="17"/>
      <c r="B18" s="18"/>
      <c r="C18" s="19" t="s">
        <v>16</v>
      </c>
      <c r="D18" s="571" t="s">
        <v>17</v>
      </c>
      <c r="E18" s="555"/>
      <c r="F18" s="555"/>
      <c r="G18" s="555"/>
      <c r="H18" s="20" t="s">
        <v>12</v>
      </c>
      <c r="I18" s="21"/>
      <c r="J18" s="21"/>
      <c r="K18" s="22"/>
      <c r="L18" s="23">
        <f t="shared" ref="L18:N18" ca="1" si="11">L19+L20</f>
        <v>3506320</v>
      </c>
      <c r="M18" s="23">
        <f t="shared" ca="1" si="11"/>
        <v>2774255</v>
      </c>
      <c r="N18" s="23">
        <f t="shared" ca="1" si="11"/>
        <v>1872663.41</v>
      </c>
      <c r="O18" s="22">
        <f t="shared" ref="O18:O20" ca="1" si="12">IF(L18&gt;0,N18*100/L18,0)</f>
        <v>53.408228855324097</v>
      </c>
      <c r="P18" s="22">
        <f t="shared" ref="P18:P26" ca="1" si="13">IF(M18&gt;0,N18*100/M18,0)</f>
        <v>67.501488147268361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3506320</v>
      </c>
      <c r="M20" s="30">
        <f t="shared" ca="1" si="15"/>
        <v>2774255</v>
      </c>
      <c r="N20" s="30">
        <f t="shared" ca="1" si="15"/>
        <v>1872663.41</v>
      </c>
      <c r="O20" s="29">
        <f t="shared" ca="1" si="12"/>
        <v>53.408228855324097</v>
      </c>
      <c r="P20" s="29">
        <f t="shared" ca="1" si="13"/>
        <v>67.501488147268361</v>
      </c>
    </row>
    <row r="21" spans="1:16" ht="21.75" customHeight="1" x14ac:dyDescent="0.45">
      <c r="A21" s="31"/>
      <c r="B21" s="32"/>
      <c r="C21" s="33" t="s">
        <v>16</v>
      </c>
      <c r="D21" s="572" t="s">
        <v>20</v>
      </c>
      <c r="E21" s="553"/>
      <c r="F21" s="55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3266920</v>
      </c>
      <c r="M22" s="41">
        <f t="shared" ca="1" si="18"/>
        <v>2534855</v>
      </c>
      <c r="N22" s="38">
        <f t="shared" ca="1" si="18"/>
        <v>1633263.41</v>
      </c>
      <c r="O22" s="38">
        <f t="shared" ca="1" si="17"/>
        <v>49.993982405446111</v>
      </c>
      <c r="P22" s="38">
        <f t="shared" ca="1" si="13"/>
        <v>64.432222355913851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2072800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1194120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2" t="s">
        <v>23</v>
      </c>
      <c r="E25" s="55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239400</v>
      </c>
      <c r="M26" s="49">
        <f t="shared" ca="1" si="22"/>
        <v>239400</v>
      </c>
      <c r="N26" s="49">
        <f t="shared" ca="1" si="22"/>
        <v>239400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80" t="s">
        <v>25</v>
      </c>
      <c r="B27" s="560"/>
      <c r="C27" s="560"/>
      <c r="D27" s="560"/>
      <c r="E27" s="560"/>
      <c r="F27" s="560"/>
      <c r="G27" s="561"/>
      <c r="H27" s="512"/>
      <c r="I27" s="513"/>
      <c r="J27" s="513"/>
      <c r="K27" s="514"/>
      <c r="L27" s="515"/>
      <c r="M27" s="514"/>
      <c r="N27" s="515"/>
      <c r="O27" s="516"/>
      <c r="P27" s="516"/>
    </row>
    <row r="28" spans="1:16" ht="21.75" customHeight="1" x14ac:dyDescent="0.45">
      <c r="A28" s="17"/>
      <c r="B28" s="18"/>
      <c r="C28" s="19" t="s">
        <v>16</v>
      </c>
      <c r="D28" s="571" t="s">
        <v>17</v>
      </c>
      <c r="E28" s="555"/>
      <c r="F28" s="555"/>
      <c r="G28" s="555"/>
      <c r="H28" s="20" t="s">
        <v>12</v>
      </c>
      <c r="I28" s="21"/>
      <c r="J28" s="21"/>
      <c r="K28" s="22"/>
      <c r="L28" s="23">
        <f t="shared" ref="L28:N28" ca="1" si="23">L29+L30</f>
        <v>2375673</v>
      </c>
      <c r="M28" s="23">
        <f t="shared" si="23"/>
        <v>0</v>
      </c>
      <c r="N28" s="23">
        <f t="shared" ca="1" si="23"/>
        <v>534065</v>
      </c>
      <c r="O28" s="22">
        <f t="shared" ref="O28:O30" ca="1" si="24">IF(L28&gt;0,N28*100/L28,0)</f>
        <v>22.480577082788752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2375673</v>
      </c>
      <c r="M30" s="30">
        <f t="shared" si="27"/>
        <v>0</v>
      </c>
      <c r="N30" s="30">
        <f t="shared" ca="1" si="27"/>
        <v>534065</v>
      </c>
      <c r="O30" s="29">
        <f t="shared" ca="1" si="24"/>
        <v>22.480577082788752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2" t="s">
        <v>20</v>
      </c>
      <c r="E31" s="553"/>
      <c r="F31" s="55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2375673</v>
      </c>
      <c r="M32" s="38">
        <f t="shared" si="30"/>
        <v>0</v>
      </c>
      <c r="N32" s="38">
        <f t="shared" ca="1" si="30"/>
        <v>534065</v>
      </c>
      <c r="O32" s="38">
        <f t="shared" ca="1" si="29"/>
        <v>22.480577082788752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2375673</v>
      </c>
      <c r="M34" s="38">
        <f t="shared" si="32"/>
        <v>0</v>
      </c>
      <c r="N34" s="38">
        <f t="shared" ca="1" si="32"/>
        <v>534065</v>
      </c>
      <c r="O34" s="38">
        <f t="shared" ca="1" si="29"/>
        <v>22.480577082788752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2" t="s">
        <v>23</v>
      </c>
      <c r="E35" s="55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3506320</v>
      </c>
      <c r="M37" s="54">
        <f t="shared" ca="1" si="33"/>
        <v>2774255</v>
      </c>
      <c r="N37" s="54">
        <f t="shared" ca="1" si="33"/>
        <v>1872663.41</v>
      </c>
      <c r="O37" s="55">
        <f t="shared" ca="1" si="29"/>
        <v>53.408228855324097</v>
      </c>
      <c r="P37" s="55">
        <f t="shared" ca="1" si="25"/>
        <v>67.501488147268361</v>
      </c>
    </row>
    <row r="38" spans="1:16" ht="21.75" customHeight="1" x14ac:dyDescent="0.45">
      <c r="A38" s="581" t="s">
        <v>27</v>
      </c>
      <c r="B38" s="560"/>
      <c r="C38" s="560"/>
      <c r="D38" s="560"/>
      <c r="E38" s="560"/>
      <c r="F38" s="560"/>
      <c r="G38" s="561"/>
      <c r="H38" s="517"/>
      <c r="I38" s="518"/>
      <c r="J38" s="518"/>
      <c r="K38" s="519"/>
      <c r="L38" s="520"/>
      <c r="M38" s="520"/>
      <c r="N38" s="520"/>
      <c r="O38" s="520"/>
      <c r="P38" s="520"/>
    </row>
    <row r="39" spans="1:16" ht="21.75" customHeight="1" x14ac:dyDescent="0.45">
      <c r="A39" s="521"/>
      <c r="B39" s="582" t="s">
        <v>28</v>
      </c>
      <c r="C39" s="555"/>
      <c r="D39" s="555"/>
      <c r="E39" s="555"/>
      <c r="F39" s="555"/>
      <c r="G39" s="555"/>
      <c r="H39" s="522"/>
      <c r="I39" s="523"/>
      <c r="J39" s="523"/>
      <c r="K39" s="524"/>
      <c r="L39" s="525"/>
      <c r="M39" s="525"/>
      <c r="N39" s="525"/>
      <c r="O39" s="524"/>
      <c r="P39" s="524"/>
    </row>
    <row r="40" spans="1:16" ht="21.75" customHeight="1" x14ac:dyDescent="0.45">
      <c r="A40" s="526"/>
      <c r="B40" s="527" t="s">
        <v>29</v>
      </c>
      <c r="C40" s="528"/>
      <c r="D40" s="528"/>
      <c r="E40" s="528"/>
      <c r="F40" s="528"/>
      <c r="G40" s="528"/>
      <c r="H40" s="529"/>
      <c r="I40" s="530"/>
      <c r="J40" s="530"/>
      <c r="K40" s="531"/>
      <c r="L40" s="532"/>
      <c r="M40" s="532"/>
      <c r="N40" s="532"/>
      <c r="O40" s="531"/>
      <c r="P40" s="531"/>
    </row>
    <row r="41" spans="1:16" ht="21.75" customHeight="1" x14ac:dyDescent="0.45">
      <c r="A41" s="72"/>
      <c r="B41" s="73"/>
      <c r="C41" s="74" t="s">
        <v>16</v>
      </c>
      <c r="D41" s="575" t="s">
        <v>17</v>
      </c>
      <c r="E41" s="553"/>
      <c r="F41" s="553"/>
      <c r="G41" s="553"/>
      <c r="H41" s="75" t="s">
        <v>12</v>
      </c>
      <c r="I41" s="76"/>
      <c r="J41" s="76"/>
      <c r="K41" s="77"/>
      <c r="L41" s="78">
        <f t="shared" ref="L41:N41" ca="1" si="34">L42+L43</f>
        <v>844100</v>
      </c>
      <c r="M41" s="78">
        <f t="shared" ca="1" si="34"/>
        <v>633100</v>
      </c>
      <c r="N41" s="78">
        <f t="shared" ca="1" si="34"/>
        <v>426555.41</v>
      </c>
      <c r="O41" s="77">
        <f t="shared" ref="O41:O43" ca="1" si="35">IF(L41&gt;0,N41*100/L41,0)</f>
        <v>50.533753109821113</v>
      </c>
      <c r="P41" s="77">
        <f t="shared" ref="P41:P43" ca="1" si="36">IF(M41&gt;0,N41*100/M41,0)</f>
        <v>67.37567682830516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844100</v>
      </c>
      <c r="M43" s="78">
        <f t="shared" ca="1" si="38"/>
        <v>633100</v>
      </c>
      <c r="N43" s="78">
        <f t="shared" ca="1" si="38"/>
        <v>426555.41</v>
      </c>
      <c r="O43" s="77">
        <f t="shared" ca="1" si="35"/>
        <v>50.533753109821113</v>
      </c>
      <c r="P43" s="77">
        <f t="shared" ca="1" si="36"/>
        <v>67.37567682830516</v>
      </c>
    </row>
    <row r="44" spans="1:16" ht="21.75" customHeight="1" x14ac:dyDescent="0.45">
      <c r="A44" s="79"/>
      <c r="B44" s="80"/>
      <c r="C44" s="81" t="s">
        <v>16</v>
      </c>
      <c r="D44" s="552" t="s">
        <v>20</v>
      </c>
      <c r="E44" s="553"/>
      <c r="F44" s="55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844100</v>
      </c>
      <c r="M45" s="533">
        <f ca="1">IFERROR(__xludf.DUMMYFUNCTION("IMPORTRANGE(""https://docs.google.com/spreadsheets/d/1Yj_ptqi66GCucihVvJfMjLAmec39IyEx_6qawtMGysU/edit?usp=sharing"",""สบก!Q47"")"),633100)</f>
        <v>633100</v>
      </c>
      <c r="N45" s="533">
        <f ca="1">IFERROR(__xludf.DUMMYFUNCTION("IMPORTRANGE(""https://docs.google.com/spreadsheets/d/1Yj_ptqi66GCucihVvJfMjLAmec39IyEx_6qawtMGysU/edit?usp=sharing"",""สบก!R47"")"),426555.41)</f>
        <v>426555.41</v>
      </c>
      <c r="O45" s="534">
        <f ca="1">IF(L45&gt;0,N45*100/L45,0)</f>
        <v>50.533753109821113</v>
      </c>
      <c r="P45" s="534">
        <f ca="1">IF(M45&gt;0,N45*100/M45,0)</f>
        <v>67.37567682830516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533">
        <f ca="1">IFERROR(__xludf.DUMMYFUNCTION("IMPORTRANGE(""https://docs.google.com/spreadsheets/d/1Yj_ptqi66GCucihVvJfMjLAmec39IyEx_6qawtMGysU/edit?usp=sharing"",""สบก!M47"")"),844100)</f>
        <v>844100</v>
      </c>
      <c r="M46" s="535"/>
      <c r="N46" s="38"/>
      <c r="O46" s="534"/>
      <c r="P46" s="534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533">
        <f ca="1">IFERROR(__xludf.DUMMYFUNCTION("IMPORTRANGE(""https://docs.google.com/spreadsheets/d/1Yj_ptqi66GCucihVvJfMjLAmec39IyEx_6qawtMGysU/edit?usp=sharing"",""สบก!N47"")"),0)</f>
        <v>0</v>
      </c>
      <c r="M47" s="535"/>
      <c r="N47" s="38"/>
      <c r="O47" s="534"/>
      <c r="P47" s="534"/>
    </row>
    <row r="48" spans="1:16" ht="21.75" customHeight="1" x14ac:dyDescent="0.45">
      <c r="A48" s="79"/>
      <c r="B48" s="80"/>
      <c r="C48" s="81" t="s">
        <v>16</v>
      </c>
      <c r="D48" s="552" t="s">
        <v>23</v>
      </c>
      <c r="E48" s="55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535"/>
      <c r="N48" s="41"/>
      <c r="O48" s="535"/>
      <c r="P48" s="535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33">
        <f ca="1">IFERROR(__xludf.DUMMYFUNCTION("IMPORTRANGE(""https://docs.google.com/spreadsheets/d/1Yj_ptqi66GCucihVvJfMjLAmec39IyEx_6qawtMGysU/edit?usp=sharing"",""สบก!O47"")"),0)</f>
        <v>0</v>
      </c>
      <c r="M49" s="536"/>
      <c r="N49" s="533">
        <f ca="1">IFERROR(__xludf.DUMMYFUNCTION("IMPORTRANGE(""https://docs.google.com/spreadsheets/d/1Yj_ptqi66GCucihVvJfMjLAmec39IyEx_6qawtMGysU/edit?usp=sharing"",""สบก!S47"")"),0)</f>
        <v>0</v>
      </c>
      <c r="O49" s="536">
        <f ca="1">IF(L49&gt;0,N49*100/L49,0)</f>
        <v>0</v>
      </c>
      <c r="P49" s="536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76" t="s">
        <v>32</v>
      </c>
      <c r="C52" s="553"/>
      <c r="D52" s="553"/>
      <c r="E52" s="553"/>
      <c r="F52" s="553"/>
      <c r="G52" s="55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77" t="s">
        <v>17</v>
      </c>
      <c r="E53" s="553"/>
      <c r="F53" s="553"/>
      <c r="G53" s="553"/>
      <c r="H53" s="118" t="s">
        <v>12</v>
      </c>
      <c r="I53" s="119"/>
      <c r="J53" s="119"/>
      <c r="K53" s="120"/>
      <c r="L53" s="121">
        <f t="shared" ref="L53:N53" ca="1" si="39">L54+L55</f>
        <v>630000</v>
      </c>
      <c r="M53" s="121">
        <f t="shared" ca="1" si="39"/>
        <v>486720</v>
      </c>
      <c r="N53" s="121">
        <f t="shared" ca="1" si="39"/>
        <v>317211</v>
      </c>
      <c r="O53" s="120">
        <f t="shared" ref="O53:O55" ca="1" si="40">IF(L53&gt;0,N53*100/L53,0)</f>
        <v>50.350952380952378</v>
      </c>
      <c r="P53" s="120">
        <f t="shared" ref="P53:P55" ca="1" si="41">IF(M53&gt;0,N53*100/M53,0)</f>
        <v>65.173200197238657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630000</v>
      </c>
      <c r="M55" s="121">
        <f t="shared" ca="1" si="43"/>
        <v>486720</v>
      </c>
      <c r="N55" s="121">
        <f t="shared" ca="1" si="43"/>
        <v>317211</v>
      </c>
      <c r="O55" s="120">
        <f t="shared" ca="1" si="40"/>
        <v>50.350952380952378</v>
      </c>
      <c r="P55" s="120">
        <f t="shared" ca="1" si="41"/>
        <v>65.173200197238657</v>
      </c>
    </row>
    <row r="56" spans="1:16" ht="21.75" customHeight="1" x14ac:dyDescent="0.45">
      <c r="A56" s="79"/>
      <c r="B56" s="80"/>
      <c r="C56" s="81" t="s">
        <v>16</v>
      </c>
      <c r="D56" s="552" t="s">
        <v>20</v>
      </c>
      <c r="E56" s="553"/>
      <c r="F56" s="55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630000</v>
      </c>
      <c r="M57" s="533">
        <f ca="1">IFERROR(__xludf.DUMMYFUNCTION("IMPORTRANGE(""https://docs.google.com/spreadsheets/d/1Yj_ptqi66GCucihVvJfMjLAmec39IyEx_6qawtMGysU/edit?usp=sharing"",""สบก!Z47"")"),486720)</f>
        <v>486720</v>
      </c>
      <c r="N57" s="533">
        <f ca="1">IFERROR(__xludf.DUMMYFUNCTION("IMPORTRANGE(""https://docs.google.com/spreadsheets/d/1Yj_ptqi66GCucihVvJfMjLAmec39IyEx_6qawtMGysU/edit?usp=sharing"",""สบก!AA47"")"),317211)</f>
        <v>317211</v>
      </c>
      <c r="O57" s="534">
        <f ca="1">IF(L57&gt;0,N57*100/L57,0)</f>
        <v>50.350952380952378</v>
      </c>
      <c r="P57" s="534">
        <f ca="1">IF(M57&gt;0,N57*100/M57,0)</f>
        <v>65.173200197238657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533">
        <f ca="1">IFERROR(__xludf.DUMMYFUNCTION("IMPORTRANGE(""https://docs.google.com/spreadsheets/d/1Yj_ptqi66GCucihVvJfMjLAmec39IyEx_6qawtMGysU/edit?usp=sharing"",""สบก!V47"")"),630000)</f>
        <v>630000</v>
      </c>
      <c r="M58" s="535"/>
      <c r="N58" s="38"/>
      <c r="O58" s="534"/>
      <c r="P58" s="534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533">
        <f ca="1">IFERROR(__xludf.DUMMYFUNCTION("IMPORTRANGE(""https://docs.google.com/spreadsheets/d/1Yj_ptqi66GCucihVvJfMjLAmec39IyEx_6qawtMGysU/edit?usp=sharing"",""สบก!W47"")"),0)</f>
        <v>0</v>
      </c>
      <c r="M59" s="535"/>
      <c r="N59" s="38"/>
      <c r="O59" s="534"/>
      <c r="P59" s="534"/>
    </row>
    <row r="60" spans="1:16" ht="21.75" customHeight="1" x14ac:dyDescent="0.45">
      <c r="A60" s="79"/>
      <c r="B60" s="80"/>
      <c r="C60" s="81" t="s">
        <v>16</v>
      </c>
      <c r="D60" s="552" t="s">
        <v>23</v>
      </c>
      <c r="E60" s="55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535"/>
      <c r="N60" s="41"/>
      <c r="O60" s="535"/>
      <c r="P60" s="535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33">
        <f ca="1">IFERROR(__xludf.DUMMYFUNCTION("IMPORTRANGE(""https://docs.google.com/spreadsheets/d/1Yj_ptqi66GCucihVvJfMjLAmec39IyEx_6qawtMGysU/edit?usp=sharing"",""สบก!X47"")"),0)</f>
        <v>0</v>
      </c>
      <c r="M61" s="536"/>
      <c r="N61" s="533">
        <f ca="1">IFERROR(__xludf.DUMMYFUNCTION("IMPORTRANGE(""https://docs.google.com/spreadsheets/d/1Yj_ptqi66GCucihVvJfMjLAmec39IyEx_6qawtMGysU/edit?usp=sharing"",""สบก!AB47"")"),0)</f>
        <v>0</v>
      </c>
      <c r="O61" s="536">
        <f ca="1">IF(L61&gt;0,N61*100/L61,0)</f>
        <v>0</v>
      </c>
      <c r="P61" s="536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IFERROR(__xludf.DUMMYFUNCTION("IMPORTRANGE(""https://docs.google.com/spreadsheets/d/1XL5vhW3sbDhbH9Cz0tuDiY8C3ctxq1tqvaCgkFb8cCA/edit?usp=sharing"",""ยโสธร!I9"")"),1)</f>
        <v>1</v>
      </c>
      <c r="J64" s="142">
        <f ca="1">IFERROR(__xludf.DUMMYFUNCTION("IMPORTRANGE(""https://docs.google.com/spreadsheets/d/1XL5vhW3sbDhbH9Cz0tuDiY8C3ctxq1tqvaCgkFb8cCA/edit?usp=sharing"",""ยโสธร!J9"")"),1)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IFERROR(__xludf.DUMMYFUNCTION("IMPORTRANGE(""https://docs.google.com/spreadsheets/d/1XL5vhW3sbDhbH9Cz0tuDiY8C3ctxq1tqvaCgkFb8cCA/edit?usp=sharing"",""ยโสธร!I10"")"),40)</f>
        <v>40</v>
      </c>
      <c r="J65" s="142">
        <f ca="1">IFERROR(__xludf.DUMMYFUNCTION("IMPORTRANGE(""https://docs.google.com/spreadsheets/d/1XL5vhW3sbDhbH9Cz0tuDiY8C3ctxq1tqvaCgkFb8cCA/edit?usp=sharing"",""ยโสธร!J10"")"),40)</f>
        <v>40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54" t="s">
        <v>17</v>
      </c>
      <c r="E66" s="555"/>
      <c r="F66" s="555"/>
      <c r="G66" s="555"/>
      <c r="H66" s="149" t="s">
        <v>12</v>
      </c>
      <c r="I66" s="150"/>
      <c r="J66" s="150"/>
      <c r="K66" s="151"/>
      <c r="L66" s="152">
        <f t="shared" ref="L66:N66" ca="1" si="45">L67+L68</f>
        <v>745500</v>
      </c>
      <c r="M66" s="152">
        <f t="shared" ca="1" si="45"/>
        <v>602720</v>
      </c>
      <c r="N66" s="152">
        <f t="shared" ca="1" si="45"/>
        <v>311943</v>
      </c>
      <c r="O66" s="151">
        <f t="shared" ref="O66:O68" ca="1" si="46">IF(L66&gt;0,N66*100/L66,0)</f>
        <v>41.843460764587526</v>
      </c>
      <c r="P66" s="151">
        <f t="shared" ref="P66:P68" ca="1" si="47">IF(M66&gt;0,N66*100/M66,0)</f>
        <v>51.755873374037698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745500</v>
      </c>
      <c r="M68" s="157">
        <f t="shared" ca="1" si="49"/>
        <v>602720</v>
      </c>
      <c r="N68" s="157">
        <f t="shared" ca="1" si="49"/>
        <v>311943</v>
      </c>
      <c r="O68" s="156">
        <f t="shared" ca="1" si="46"/>
        <v>41.843460764587526</v>
      </c>
      <c r="P68" s="156">
        <f t="shared" ca="1" si="47"/>
        <v>51.755873374037698</v>
      </c>
    </row>
    <row r="69" spans="1:16" ht="21.75" customHeight="1" x14ac:dyDescent="0.45">
      <c r="A69" s="158"/>
      <c r="B69" s="159"/>
      <c r="C69" s="159" t="s">
        <v>16</v>
      </c>
      <c r="D69" s="552" t="s">
        <v>20</v>
      </c>
      <c r="E69" s="553"/>
      <c r="F69" s="55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745500</v>
      </c>
      <c r="M70" s="537">
        <f ca="1">IFERROR(__xludf.DUMMYFUNCTION("IMPORTRANGE(""https://docs.google.com/spreadsheets/d/1Yj_ptqi66GCucihVvJfMjLAmec39IyEx_6qawtMGysU/edit?usp=sharing"",""สบก!AI47"")"),602720)</f>
        <v>602720</v>
      </c>
      <c r="N70" s="538">
        <f ca="1">IFERROR(__xludf.DUMMYFUNCTION("IMPORTRANGE(""https://docs.google.com/spreadsheets/d/1Yj_ptqi66GCucihVvJfMjLAmec39IyEx_6qawtMGysU/edit?usp=sharing"",""สบก!AJ47"")"),311943)</f>
        <v>311943</v>
      </c>
      <c r="O70" s="169">
        <f ca="1">IF(L70&gt;0,N70*100/L70,0)</f>
        <v>41.843460764587526</v>
      </c>
      <c r="P70" s="169">
        <f ca="1">IF(M70&gt;0,N70*100/M70,0)</f>
        <v>51.755873374037698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537">
        <f ca="1">IFERROR(__xludf.DUMMYFUNCTION("IMPORTRANGE(""https://docs.google.com/spreadsheets/d/1Yj_ptqi66GCucihVvJfMjLAmec39IyEx_6qawtMGysU/edit?usp=sharing"",""สบก!AE47"")"),321500)</f>
        <v>321500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537">
        <f ca="1">IFERROR(__xludf.DUMMYFUNCTION("IMPORTRANGE(""https://docs.google.com/spreadsheets/d/1Yj_ptqi66GCucihVvJfMjLAmec39IyEx_6qawtMGysU/edit?usp=sharing"",""สบก!AF47"")"),424000)</f>
        <v>424000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52" t="s">
        <v>23</v>
      </c>
      <c r="E73" s="553"/>
      <c r="F73" s="89"/>
      <c r="G73" s="82" t="s">
        <v>18</v>
      </c>
      <c r="H73" s="172" t="s">
        <v>12</v>
      </c>
      <c r="I73" s="84"/>
      <c r="J73" s="84"/>
      <c r="K73" s="85"/>
      <c r="L73" s="535">
        <v>0</v>
      </c>
      <c r="M73" s="535"/>
      <c r="N73" s="41"/>
      <c r="O73" s="535"/>
      <c r="P73" s="535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533">
        <f ca="1">IFERROR(__xludf.DUMMYFUNCTION("IMPORTRANGE(""https://docs.google.com/spreadsheets/d/1Yj_ptqi66GCucihVvJfMjLAmec39IyEx_6qawtMGysU/edit?usp=sharing"",""สบก!AG47"")"),0)</f>
        <v>0</v>
      </c>
      <c r="M74" s="536"/>
      <c r="N74" s="533">
        <f ca="1">IFERROR(__xludf.DUMMYFUNCTION("IMPORTRANGE(""https://docs.google.com/spreadsheets/d/1Yj_ptqi66GCucihVvJfMjLAmec39IyEx_6qawtMGysU/edit?usp=sharing"",""สบก!AK47"")"),0)</f>
        <v>0</v>
      </c>
      <c r="O74" s="536">
        <f ca="1">IF(L74&gt;0,N74*100/L74,0)</f>
        <v>0</v>
      </c>
      <c r="P74" s="536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IFERROR(__xludf.DUMMYFUNCTION("IMPORTRANGE(""https://docs.google.com/spreadsheets/d/1XL5vhW3sbDhbH9Cz0tuDiY8C3ctxq1tqvaCgkFb8cCA/edit?usp=sharing"",""ยโสธร!J16"")"),0)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IFERROR(__xludf.DUMMYFUNCTION("IMPORTRANGE(""https://docs.google.com/spreadsheets/d/1XL5vhW3sbDhbH9Cz0tuDiY8C3ctxq1tqvaCgkFb8cCA/edit?usp=sharing"",""ยโสธร!J17"")"),1)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IFERROR(__xludf.DUMMYFUNCTION("IMPORTRANGE(""https://docs.google.com/spreadsheets/d/1XL5vhW3sbDhbH9Cz0tuDiY8C3ctxq1tqvaCgkFb8cCA/edit?usp=sharing"",""ยโสธร!J18"")"),1)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IFERROR(__xludf.DUMMYFUNCTION("IMPORTRANGE(""https://docs.google.com/spreadsheets/d/1XL5vhW3sbDhbH9Cz0tuDiY8C3ctxq1tqvaCgkFb8cCA/edit?usp=sharing"",""ยโสธร!J19"")"),1)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IFERROR(__xludf.DUMMYFUNCTION("IMPORTRANGE(""https://docs.google.com/spreadsheets/d/1XL5vhW3sbDhbH9Cz0tuDiY8C3ctxq1tqvaCgkFb8cCA/edit?usp=sharing"",""ยโสธร!I20"")"),1)</f>
        <v>1</v>
      </c>
      <c r="J80" s="201">
        <f ca="1">IFERROR(__xludf.DUMMYFUNCTION("IMPORTRANGE(""https://docs.google.com/spreadsheets/d/1XL5vhW3sbDhbH9Cz0tuDiY8C3ctxq1tqvaCgkFb8cCA/edit?usp=sharing"",""ยโสธร!J20"")"),1)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IFERROR(__xludf.DUMMYFUNCTION("IMPORTRANGE(""https://docs.google.com/spreadsheets/d/1XL5vhW3sbDhbH9Cz0tuDiY8C3ctxq1tqvaCgkFb8cCA/edit?usp=sharing"",""ยโสธร!I21"")"),40)</f>
        <v>40</v>
      </c>
      <c r="J81" s="201">
        <f ca="1">IFERROR(__xludf.DUMMYFUNCTION("IMPORTRANGE(""https://docs.google.com/spreadsheets/d/1XL5vhW3sbDhbH9Cz0tuDiY8C3ctxq1tqvaCgkFb8cCA/edit?usp=sharing"",""ยโสธร!J21"")"),40)</f>
        <v>40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IFERROR(__xludf.DUMMYFUNCTION("IMPORTRANGE(""https://docs.google.com/spreadsheets/d/1XL5vhW3sbDhbH9Cz0tuDiY8C3ctxq1tqvaCgkFb8cCA/edit?usp=sharing"",""ยโสธร!I22"")"),1)</f>
        <v>1</v>
      </c>
      <c r="J82" s="204">
        <f ca="1">IFERROR(__xludf.DUMMYFUNCTION("IMPORTRANGE(""https://docs.google.com/spreadsheets/d/1XL5vhW3sbDhbH9Cz0tuDiY8C3ctxq1tqvaCgkFb8cCA/edit?usp=sharing"",""ยโสธร!J22"")"),1)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IFERROR(__xludf.DUMMYFUNCTION("IMPORTRANGE(""https://docs.google.com/spreadsheets/d/1XL5vhW3sbDhbH9Cz0tuDiY8C3ctxq1tqvaCgkFb8cCA/edit?usp=sharing"",""ยโสธร!I23"")"),40)</f>
        <v>40</v>
      </c>
      <c r="J83" s="204">
        <f ca="1">IFERROR(__xludf.DUMMYFUNCTION("IMPORTRANGE(""https://docs.google.com/spreadsheets/d/1XL5vhW3sbDhbH9Cz0tuDiY8C3ctxq1tqvaCgkFb8cCA/edit?usp=sharing"",""ยโสธร!J23"")"),40)</f>
        <v>40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IFERROR(__xludf.DUMMYFUNCTION("IMPORTRANGE(""https://docs.google.com/spreadsheets/d/1XL5vhW3sbDhbH9Cz0tuDiY8C3ctxq1tqvaCgkFb8cCA/edit?usp=sharing"",""ยโสธร!I24"")"),0)</f>
        <v>0</v>
      </c>
      <c r="J84" s="189">
        <f ca="1">IFERROR(__xludf.DUMMYFUNCTION("IMPORTRANGE(""https://docs.google.com/spreadsheets/d/1XL5vhW3sbDhbH9Cz0tuDiY8C3ctxq1tqvaCgkFb8cCA/edit?usp=sharing"",""ยโสธร!J24"")"),0)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IFERROR(__xludf.DUMMYFUNCTION("IMPORTRANGE(""https://docs.google.com/spreadsheets/d/1XL5vhW3sbDhbH9Cz0tuDiY8C3ctxq1tqvaCgkFb8cCA/edit?usp=sharing"",""ยโสธร!I25"")"),0)</f>
        <v>0</v>
      </c>
      <c r="J85" s="189">
        <f ca="1">IFERROR(__xludf.DUMMYFUNCTION("IMPORTRANGE(""https://docs.google.com/spreadsheets/d/1XL5vhW3sbDhbH9Cz0tuDiY8C3ctxq1tqvaCgkFb8cCA/edit?usp=sharing"",""ยโสธร!J25"")"),0)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IFERROR(__xludf.DUMMYFUNCTION("IMPORTRANGE(""https://docs.google.com/spreadsheets/d/1XL5vhW3sbDhbH9Cz0tuDiY8C3ctxq1tqvaCgkFb8cCA/edit?usp=sharing"",""ยโสธร!I26"")"),0)</f>
        <v>0</v>
      </c>
      <c r="J86" s="204">
        <f ca="1">IFERROR(__xludf.DUMMYFUNCTION("IMPORTRANGE(""https://docs.google.com/spreadsheets/d/1XL5vhW3sbDhbH9Cz0tuDiY8C3ctxq1tqvaCgkFb8cCA/edit?usp=sharing"",""ยโสธร!J26"")"),0)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IFERROR(__xludf.DUMMYFUNCTION("IMPORTRANGE(""https://docs.google.com/spreadsheets/d/1XL5vhW3sbDhbH9Cz0tuDiY8C3ctxq1tqvaCgkFb8cCA/edit?usp=sharing"",""ยโสธร!I27"")"),0)</f>
        <v>0</v>
      </c>
      <c r="J87" s="204">
        <f ca="1">IFERROR(__xludf.DUMMYFUNCTION("IMPORTRANGE(""https://docs.google.com/spreadsheets/d/1XL5vhW3sbDhbH9Cz0tuDiY8C3ctxq1tqvaCgkFb8cCA/edit?usp=sharing"",""ยโสธร!J27"")"),0)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IFERROR(__xludf.DUMMYFUNCTION("IMPORTRANGE(""https://docs.google.com/spreadsheets/d/1XL5vhW3sbDhbH9Cz0tuDiY8C3ctxq1tqvaCgkFb8cCA/edit?usp=sharing"",""ยโสธร!I28"")"),40)</f>
        <v>40</v>
      </c>
      <c r="J88" s="204">
        <f ca="1">IFERROR(__xludf.DUMMYFUNCTION("IMPORTRANGE(""https://docs.google.com/spreadsheets/d/1XL5vhW3sbDhbH9Cz0tuDiY8C3ctxq1tqvaCgkFb8cCA/edit?usp=sharing"",""ยโสธร!J28"")"),0)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IFERROR(__xludf.DUMMYFUNCTION("IMPORTRANGE(""https://docs.google.com/spreadsheets/d/1XL5vhW3sbDhbH9Cz0tuDiY8C3ctxq1tqvaCgkFb8cCA/edit?usp=sharing"",""ยโสธร!J29"")"),0)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IFERROR(__xludf.DUMMYFUNCTION("IMPORTRANGE(""https://docs.google.com/spreadsheets/d/1XL5vhW3sbDhbH9Cz0tuDiY8C3ctxq1tqvaCgkFb8cCA/edit?usp=sharing"",""ยโสธร!J30"")"),0)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IFERROR(__xludf.DUMMYFUNCTION("IMPORTRANGE(""https://docs.google.com/spreadsheets/d/1XL5vhW3sbDhbH9Cz0tuDiY8C3ctxq1tqvaCgkFb8cCA/edit?usp=sharing"",""ยโสธร!I32"")"),4)</f>
        <v>4</v>
      </c>
      <c r="J92" s="142">
        <f ca="1">IFERROR(__xludf.DUMMYFUNCTION("IMPORTRANGE(""https://docs.google.com/spreadsheets/d/1XL5vhW3sbDhbH9Cz0tuDiY8C3ctxq1tqvaCgkFb8cCA/edit?usp=sharing"",""ยโสธร!J32"")"),4)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IFERROR(__xludf.DUMMYFUNCTION("IMPORTRANGE(""https://docs.google.com/spreadsheets/d/1XL5vhW3sbDhbH9Cz0tuDiY8C3ctxq1tqvaCgkFb8cCA/edit?usp=sharing"",""ยโสธร!I33"")"),1)</f>
        <v>1</v>
      </c>
      <c r="J93" s="142">
        <f ca="1">IFERROR(__xludf.DUMMYFUNCTION("IMPORTRANGE(""https://docs.google.com/spreadsheets/d/1XL5vhW3sbDhbH9Cz0tuDiY8C3ctxq1tqvaCgkFb8cCA/edit?usp=sharing"",""ยโสธร!J33"")"),1)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54" t="s">
        <v>17</v>
      </c>
      <c r="E94" s="555"/>
      <c r="F94" s="555"/>
      <c r="G94" s="555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144240</v>
      </c>
      <c r="O94" s="151">
        <f t="shared" ref="O94:O96" ca="1" si="53">IF(L94&gt;0,N94*100/L94,0)</f>
        <v>67.24475524475524</v>
      </c>
      <c r="P94" s="151">
        <f t="shared" ref="P94:P96" ca="1" si="54">IF(M94&gt;0,N94*100/M94,0)</f>
        <v>67.24475524475524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144240</v>
      </c>
      <c r="O96" s="156">
        <f t="shared" ca="1" si="53"/>
        <v>67.24475524475524</v>
      </c>
      <c r="P96" s="156">
        <f t="shared" ca="1" si="54"/>
        <v>67.24475524475524</v>
      </c>
    </row>
    <row r="97" spans="1:16" ht="21.75" customHeight="1" x14ac:dyDescent="0.45">
      <c r="A97" s="158"/>
      <c r="B97" s="159"/>
      <c r="C97" s="159" t="s">
        <v>16</v>
      </c>
      <c r="D97" s="552" t="s">
        <v>20</v>
      </c>
      <c r="E97" s="553"/>
      <c r="F97" s="55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537">
        <f ca="1">IFERROR(__xludf.DUMMYFUNCTION("IMPORTRANGE(""https://docs.google.com/spreadsheets/d/1Yj_ptqi66GCucihVvJfMjLAmec39IyEx_6qawtMGysU/edit?usp=sharing"",""สบก!AR47"")"),122100)</f>
        <v>122100</v>
      </c>
      <c r="N98" s="538">
        <f ca="1">IFERROR(__xludf.DUMMYFUNCTION("IMPORTRANGE(""https://docs.google.com/spreadsheets/d/1Yj_ptqi66GCucihVvJfMjLAmec39IyEx_6qawtMGysU/edit?usp=sharing"",""สบก!AS47"")"),51840)</f>
        <v>51840</v>
      </c>
      <c r="O98" s="169">
        <f ca="1">IF(L98&gt;0,N98*100/L98,0)</f>
        <v>42.45700245700246</v>
      </c>
      <c r="P98" s="169">
        <f ca="1">IF(M98&gt;0,N98*100/M98,0)</f>
        <v>42.45700245700246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537">
        <f ca="1">IFERROR(__xludf.DUMMYFUNCTION("IMPORTRANGE(""https://docs.google.com/spreadsheets/d/1Yj_ptqi66GCucihVvJfMjLAmec39IyEx_6qawtMGysU/edit?usp=sharing"",""สบก!AN47"")"),0)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537">
        <f ca="1">IFERROR(__xludf.DUMMYFUNCTION("IMPORTRANGE(""https://docs.google.com/spreadsheets/d/1Yj_ptqi66GCucihVvJfMjLAmec39IyEx_6qawtMGysU/edit?usp=sharing"",""สบก!AO47"")"),122100)</f>
        <v>122100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52" t="s">
        <v>23</v>
      </c>
      <c r="E101" s="553"/>
      <c r="F101" s="89"/>
      <c r="G101" s="82" t="s">
        <v>18</v>
      </c>
      <c r="H101" s="172" t="s">
        <v>12</v>
      </c>
      <c r="I101" s="188"/>
      <c r="J101" s="188"/>
      <c r="K101" s="224"/>
      <c r="L101" s="535">
        <v>0</v>
      </c>
      <c r="M101" s="535"/>
      <c r="N101" s="41"/>
      <c r="O101" s="535"/>
      <c r="P101" s="535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533">
        <f ca="1">IFERROR(__xludf.DUMMYFUNCTION("IMPORTRANGE(""https://docs.google.com/spreadsheets/d/1Yj_ptqi66GCucihVvJfMjLAmec39IyEx_6qawtMGysU/edit?usp=sharing"",""สบก!AP47"")"),92400)</f>
        <v>92400</v>
      </c>
      <c r="M102" s="536">
        <f ca="1">L102</f>
        <v>92400</v>
      </c>
      <c r="N102" s="533">
        <f ca="1">IFERROR(__xludf.DUMMYFUNCTION("IMPORTRANGE(""https://docs.google.com/spreadsheets/d/1Yj_ptqi66GCucihVvJfMjLAmec39IyEx_6qawtMGysU/edit?usp=sharing"",""สบก!AT47"")"),92400)</f>
        <v>92400</v>
      </c>
      <c r="O102" s="536">
        <f ca="1">IF(L102&gt;0,N102*100/L102,0)</f>
        <v>100</v>
      </c>
      <c r="P102" s="536">
        <f ca="1">IF(M102&gt;0,N102*100/M102,0)</f>
        <v>100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IFERROR(__xludf.DUMMYFUNCTION("IMPORTRANGE(""https://docs.google.com/spreadsheets/d/1XL5vhW3sbDhbH9Cz0tuDiY8C3ctxq1tqvaCgkFb8cCA/edit?usp=sharing"",""ยโสธร!J39"")"),0)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IFERROR(__xludf.DUMMYFUNCTION("IMPORTRANGE(""https://docs.google.com/spreadsheets/d/1XL5vhW3sbDhbH9Cz0tuDiY8C3ctxq1tqvaCgkFb8cCA/edit?usp=sharing"",""ยโสธร!J40"")"),1)</f>
        <v>1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IFERROR(__xludf.DUMMYFUNCTION("IMPORTRANGE(""https://docs.google.com/spreadsheets/d/1XL5vhW3sbDhbH9Cz0tuDiY8C3ctxq1tqvaCgkFb8cCA/edit?usp=sharing"",""ยโสธร!J41"")"),1)</f>
        <v>1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IFERROR(__xludf.DUMMYFUNCTION("IMPORTRANGE(""https://docs.google.com/spreadsheets/d/1XL5vhW3sbDhbH9Cz0tuDiY8C3ctxq1tqvaCgkFb8cCA/edit?usp=sharing"",""ยโสธร!J42"")"),1)</f>
        <v>1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IFERROR(__xludf.DUMMYFUNCTION("IMPORTRANGE(""https://docs.google.com/spreadsheets/d/1XL5vhW3sbDhbH9Cz0tuDiY8C3ctxq1tqvaCgkFb8cCA/edit?usp=sharing"",""ยโสธร!I43"")"),1)</f>
        <v>1</v>
      </c>
      <c r="J108" s="204">
        <f ca="1">IFERROR(__xludf.DUMMYFUNCTION("IMPORTRANGE(""https://docs.google.com/spreadsheets/d/1XL5vhW3sbDhbH9Cz0tuDiY8C3ctxq1tqvaCgkFb8cCA/edit?usp=sharing"",""ยโสธร!J43"")"),1)</f>
        <v>1</v>
      </c>
      <c r="K108" s="224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IFERROR(__xludf.DUMMYFUNCTION("IMPORTRANGE(""https://docs.google.com/spreadsheets/d/1XL5vhW3sbDhbH9Cz0tuDiY8C3ctxq1tqvaCgkFb8cCA/edit?usp=sharing"",""ยโสธร!I44"")"),4)</f>
        <v>4</v>
      </c>
      <c r="J109" s="204">
        <f ca="1">IFERROR(__xludf.DUMMYFUNCTION("IMPORTRANGE(""https://docs.google.com/spreadsheets/d/1XL5vhW3sbDhbH9Cz0tuDiY8C3ctxq1tqvaCgkFb8cCA/edit?usp=sharing"",""ยโสธร!J44"")"),4)</f>
        <v>4</v>
      </c>
      <c r="K109" s="224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IFERROR(__xludf.DUMMYFUNCTION("IMPORTRANGE(""https://docs.google.com/spreadsheets/d/1XL5vhW3sbDhbH9Cz0tuDiY8C3ctxq1tqvaCgkFb8cCA/edit?usp=sharing"",""ยโสธร!I45"")"),4)</f>
        <v>4</v>
      </c>
      <c r="J110" s="204">
        <f ca="1">IFERROR(__xludf.DUMMYFUNCTION("IMPORTRANGE(""https://docs.google.com/spreadsheets/d/1XL5vhW3sbDhbH9Cz0tuDiY8C3ctxq1tqvaCgkFb8cCA/edit?usp=sharing"",""ยโสธร!J45"")"),4)</f>
        <v>4</v>
      </c>
      <c r="K110" s="224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IFERROR(__xludf.DUMMYFUNCTION("IMPORTRANGE(""https://docs.google.com/spreadsheets/d/1XL5vhW3sbDhbH9Cz0tuDiY8C3ctxq1tqvaCgkFb8cCA/edit?usp=sharing"",""ยโสธร!I46"")"),4)</f>
        <v>4</v>
      </c>
      <c r="J111" s="204">
        <f ca="1">IFERROR(__xludf.DUMMYFUNCTION("IMPORTRANGE(""https://docs.google.com/spreadsheets/d/1XL5vhW3sbDhbH9Cz0tuDiY8C3ctxq1tqvaCgkFb8cCA/edit?usp=sharing"",""ยโสธร!J46"")"),4)</f>
        <v>4</v>
      </c>
      <c r="K111" s="224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IFERROR(__xludf.DUMMYFUNCTION("IMPORTRANGE(""https://docs.google.com/spreadsheets/d/1XL5vhW3sbDhbH9Cz0tuDiY8C3ctxq1tqvaCgkFb8cCA/edit?usp=sharing"",""ยโสธร!I47"")"),4)</f>
        <v>4</v>
      </c>
      <c r="J112" s="204">
        <f ca="1">IFERROR(__xludf.DUMMYFUNCTION("IMPORTRANGE(""https://docs.google.com/spreadsheets/d/1XL5vhW3sbDhbH9Cz0tuDiY8C3ctxq1tqvaCgkFb8cCA/edit?usp=sharing"",""ยโสธร!J47"")"),0)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IFERROR(__xludf.DUMMYFUNCTION("IMPORTRANGE(""https://docs.google.com/spreadsheets/d/1XL5vhW3sbDhbH9Cz0tuDiY8C3ctxq1tqvaCgkFb8cCA/edit?usp=sharing"",""ยโสธร!I48"")"),1)</f>
        <v>1</v>
      </c>
      <c r="J113" s="204">
        <f ca="1">IFERROR(__xludf.DUMMYFUNCTION("IMPORTRANGE(""https://docs.google.com/spreadsheets/d/1XL5vhW3sbDhbH9Cz0tuDiY8C3ctxq1tqvaCgkFb8cCA/edit?usp=sharing"",""ยโสธร!J48"")"),1)</f>
        <v>1</v>
      </c>
      <c r="K113" s="224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IFERROR(__xludf.DUMMYFUNCTION("IMPORTRANGE(""https://docs.google.com/spreadsheets/d/1XL5vhW3sbDhbH9Cz0tuDiY8C3ctxq1tqvaCgkFb8cCA/edit?usp=sharing"",""ยโสธร!J49"")"),0)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IFERROR(__xludf.DUMMYFUNCTION("IMPORTRANGE(""https://docs.google.com/spreadsheets/d/1XL5vhW3sbDhbH9Cz0tuDiY8C3ctxq1tqvaCgkFb8cCA/edit?usp=sharing"",""ยโสธร!J50"")"),0)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IFERROR(__xludf.DUMMYFUNCTION("IMPORTRANGE(""https://docs.google.com/spreadsheets/d/1XL5vhW3sbDhbH9Cz0tuDiY8C3ctxq1tqvaCgkFb8cCA/edit?usp=sharing"",""ยโสธร!I52"")"),20)</f>
        <v>20</v>
      </c>
      <c r="J117" s="142">
        <f ca="1">IFERROR(__xludf.DUMMYFUNCTION("IMPORTRANGE(""https://docs.google.com/spreadsheets/d/1XL5vhW3sbDhbH9Cz0tuDiY8C3ctxq1tqvaCgkFb8cCA/edit?usp=sharing"",""ยโสธร!J52"")"),20)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54" t="s">
        <v>17</v>
      </c>
      <c r="E118" s="555"/>
      <c r="F118" s="555"/>
      <c r="G118" s="555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48524</v>
      </c>
      <c r="O118" s="151">
        <f t="shared" ref="O118:O120" ca="1" si="59">IF(L118&gt;0,N118*100/L118,0)</f>
        <v>58.859776807375063</v>
      </c>
      <c r="P118" s="151">
        <f t="shared" ref="P118:P120" ca="1" si="60">IF(M118&gt;0,N118*100/M118,0)</f>
        <v>58.859776807375063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48524</v>
      </c>
      <c r="O120" s="156">
        <f t="shared" ca="1" si="59"/>
        <v>58.859776807375063</v>
      </c>
      <c r="P120" s="156">
        <f t="shared" ca="1" si="60"/>
        <v>58.859776807375063</v>
      </c>
    </row>
    <row r="121" spans="1:16" ht="21.75" customHeight="1" x14ac:dyDescent="0.45">
      <c r="A121" s="158"/>
      <c r="B121" s="159"/>
      <c r="C121" s="159" t="s">
        <v>16</v>
      </c>
      <c r="D121" s="552" t="s">
        <v>20</v>
      </c>
      <c r="E121" s="553"/>
      <c r="F121" s="55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537">
        <f ca="1">IFERROR(__xludf.DUMMYFUNCTION("IMPORTRANGE(""https://docs.google.com/spreadsheets/d/1Yj_ptqi66GCucihVvJfMjLAmec39IyEx_6qawtMGysU/edit?usp=sharing"",""สบก!BA47"")"),82440)</f>
        <v>82440</v>
      </c>
      <c r="N122" s="538">
        <f ca="1">IFERROR(__xludf.DUMMYFUNCTION("IMPORTRANGE(""https://docs.google.com/spreadsheets/d/1Yj_ptqi66GCucihVvJfMjLAmec39IyEx_6qawtMGysU/edit?usp=sharing"",""สบก!BB47"")"),48524)</f>
        <v>48524</v>
      </c>
      <c r="O122" s="169">
        <f ca="1">IF(L122&gt;0,N122*100/L122,0)</f>
        <v>58.859776807375063</v>
      </c>
      <c r="P122" s="169">
        <f ca="1">IF(M122&gt;0,N122*100/M122,0)</f>
        <v>58.859776807375063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537">
        <f ca="1">IFERROR(__xludf.DUMMYFUNCTION("IMPORTRANGE(""https://docs.google.com/spreadsheets/d/1Yj_ptqi66GCucihVvJfMjLAmec39IyEx_6qawtMGysU/edit?usp=sharing"",""สบก!AW47"")"),0)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537">
        <f ca="1">IFERROR(__xludf.DUMMYFUNCTION("IMPORTRANGE(""https://docs.google.com/spreadsheets/d/1Yj_ptqi66GCucihVvJfMjLAmec39IyEx_6qawtMGysU/edit?usp=sharing"",""สบก!AX47"")"),82440)</f>
        <v>82440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52" t="s">
        <v>23</v>
      </c>
      <c r="E125" s="553"/>
      <c r="F125" s="89"/>
      <c r="G125" s="82" t="s">
        <v>18</v>
      </c>
      <c r="H125" s="172" t="s">
        <v>12</v>
      </c>
      <c r="I125" s="188"/>
      <c r="J125" s="188"/>
      <c r="K125" s="224"/>
      <c r="L125" s="535">
        <v>0</v>
      </c>
      <c r="M125" s="535"/>
      <c r="N125" s="41"/>
      <c r="O125" s="535"/>
      <c r="P125" s="535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533">
        <f ca="1">IFERROR(__xludf.DUMMYFUNCTION("IMPORTRANGE(""https://docs.google.com/spreadsheets/d/1Yj_ptqi66GCucihVvJfMjLAmec39IyEx_6qawtMGysU/edit?usp=sharing"",""สบก!AY47"")"),0)</f>
        <v>0</v>
      </c>
      <c r="M126" s="536"/>
      <c r="N126" s="533">
        <f ca="1">IFERROR(__xludf.DUMMYFUNCTION("IMPORTRANGE(""https://docs.google.com/spreadsheets/d/1Yj_ptqi66GCucihVvJfMjLAmec39IyEx_6qawtMGysU/edit?usp=sharing"",""สบก!BC47"")"),0)</f>
        <v>0</v>
      </c>
      <c r="O126" s="536">
        <f ca="1">IF(L126&gt;0,N126*100/L126,0)</f>
        <v>0</v>
      </c>
      <c r="P126" s="536"/>
    </row>
    <row r="127" spans="1:16" ht="21.75" customHeight="1" x14ac:dyDescent="0.35">
      <c r="A127" s="176"/>
      <c r="B127" s="177"/>
      <c r="C127" s="159" t="s">
        <v>16</v>
      </c>
      <c r="D127" s="233" t="s">
        <v>257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IFERROR(__xludf.DUMMYFUNCTION("IMPORTRANGE(""https://docs.google.com/spreadsheets/d/1XL5vhW3sbDhbH9Cz0tuDiY8C3ctxq1tqvaCgkFb8cCA/edit?usp=sharing"",""ยโสธร!J58"")"),0)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IFERROR(__xludf.DUMMYFUNCTION("IMPORTRANGE(""https://docs.google.com/spreadsheets/d/1XL5vhW3sbDhbH9Cz0tuDiY8C3ctxq1tqvaCgkFb8cCA/edit?usp=sharing"",""ยโสธร!J59"")"),1)</f>
        <v>1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IFERROR(__xludf.DUMMYFUNCTION("IMPORTRANGE(""https://docs.google.com/spreadsheets/d/1XL5vhW3sbDhbH9Cz0tuDiY8C3ctxq1tqvaCgkFb8cCA/edit?usp=sharing"",""ยโสธร!J60"")"),0)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IFERROR(__xludf.DUMMYFUNCTION("IMPORTRANGE(""https://docs.google.com/spreadsheets/d/1XL5vhW3sbDhbH9Cz0tuDiY8C3ctxq1tqvaCgkFb8cCA/edit?usp=sharing"",""ยโสธร!J61"")"),0)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IFERROR(__xludf.DUMMYFUNCTION("IMPORTRANGE(""https://docs.google.com/spreadsheets/d/1XL5vhW3sbDhbH9Cz0tuDiY8C3ctxq1tqvaCgkFb8cCA/edit?usp=sharing"",""ยโสธร!I62"")"),20)</f>
        <v>20</v>
      </c>
      <c r="J132" s="204">
        <f ca="1">IFERROR(__xludf.DUMMYFUNCTION("IMPORTRANGE(""https://docs.google.com/spreadsheets/d/1XL5vhW3sbDhbH9Cz0tuDiY8C3ctxq1tqvaCgkFb8cCA/edit?usp=sharing"",""ยโสธร!J62"")"),20)</f>
        <v>20</v>
      </c>
      <c r="K132" s="224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IFERROR(__xludf.DUMMYFUNCTION("IMPORTRANGE(""https://docs.google.com/spreadsheets/d/1XL5vhW3sbDhbH9Cz0tuDiY8C3ctxq1tqvaCgkFb8cCA/edit?usp=sharing"",""ยโสธร!I63"")"),20)</f>
        <v>20</v>
      </c>
      <c r="J133" s="204">
        <f ca="1">IFERROR(__xludf.DUMMYFUNCTION("IMPORTRANGE(""https://docs.google.com/spreadsheets/d/1XL5vhW3sbDhbH9Cz0tuDiY8C3ctxq1tqvaCgkFb8cCA/edit?usp=sharing"",""ยโสธร!J63"")"),0)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IFERROR(__xludf.DUMMYFUNCTION("IMPORTRANGE(""https://docs.google.com/spreadsheets/d/1XL5vhW3sbDhbH9Cz0tuDiY8C3ctxq1tqvaCgkFb8cCA/edit?usp=sharing"",""ยโสธร!J64"")"),0)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IFERROR(__xludf.DUMMYFUNCTION("IMPORTRANGE(""https://docs.google.com/spreadsheets/d/1XL5vhW3sbDhbH9Cz0tuDiY8C3ctxq1tqvaCgkFb8cCA/edit?usp=sharing"",""ยโสธร!J65"")"),0)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IFERROR(__xludf.DUMMYFUNCTION("IMPORTRANGE(""https://docs.google.com/spreadsheets/d/1XL5vhW3sbDhbH9Cz0tuDiY8C3ctxq1tqvaCgkFb8cCA/edit?usp=sharing"",""ยโสธร!I68"")"),0)</f>
        <v>0</v>
      </c>
      <c r="J138" s="267">
        <f ca="1">IFERROR(__xludf.DUMMYFUNCTION("IMPORTRANGE(""https://docs.google.com/spreadsheets/d/1XL5vhW3sbDhbH9Cz0tuDiY8C3ctxq1tqvaCgkFb8cCA/edit?usp=sharing"",""ยโสธร!J68"")"),0)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54" t="s">
        <v>17</v>
      </c>
      <c r="E140" s="555"/>
      <c r="F140" s="555"/>
      <c r="G140" s="555"/>
      <c r="H140" s="149" t="s">
        <v>12</v>
      </c>
      <c r="I140" s="162"/>
      <c r="J140" s="162"/>
      <c r="K140" s="163"/>
      <c r="L140" s="152">
        <f t="shared" ref="L140:N140" ca="1" si="64">L141+L142</f>
        <v>79000</v>
      </c>
      <c r="M140" s="152">
        <f t="shared" ca="1" si="64"/>
        <v>70625</v>
      </c>
      <c r="N140" s="152">
        <f t="shared" ca="1" si="64"/>
        <v>55480</v>
      </c>
      <c r="O140" s="151">
        <f t="shared" ref="O140:O142" ca="1" si="65">IF(L140&gt;0,N140*100/L140,0)</f>
        <v>70.22784810126582</v>
      </c>
      <c r="P140" s="151">
        <f t="shared" ref="P140:P142" ca="1" si="66">IF(M140&gt;0,N140*100/M140,0)</f>
        <v>78.555752212389379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79000</v>
      </c>
      <c r="M142" s="157">
        <f t="shared" ca="1" si="68"/>
        <v>70625</v>
      </c>
      <c r="N142" s="157">
        <f t="shared" ca="1" si="68"/>
        <v>55480</v>
      </c>
      <c r="O142" s="156">
        <f t="shared" ca="1" si="65"/>
        <v>70.22784810126582</v>
      </c>
      <c r="P142" s="156">
        <f t="shared" ca="1" si="66"/>
        <v>78.555752212389379</v>
      </c>
    </row>
    <row r="143" spans="1:16" ht="21.75" customHeight="1" x14ac:dyDescent="0.45">
      <c r="A143" s="158"/>
      <c r="B143" s="159"/>
      <c r="C143" s="159" t="s">
        <v>16</v>
      </c>
      <c r="D143" s="552" t="s">
        <v>20</v>
      </c>
      <c r="E143" s="553"/>
      <c r="F143" s="55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79000</v>
      </c>
      <c r="M144" s="537">
        <f ca="1">IFERROR(__xludf.DUMMYFUNCTION("IMPORTRANGE(""https://docs.google.com/spreadsheets/d/1Yj_ptqi66GCucihVvJfMjLAmec39IyEx_6qawtMGysU/edit?usp=sharing"",""สบก!BJ47"")"),70625)</f>
        <v>70625</v>
      </c>
      <c r="N144" s="538">
        <f ca="1">IFERROR(__xludf.DUMMYFUNCTION("IMPORTRANGE(""https://docs.google.com/spreadsheets/d/1Yj_ptqi66GCucihVvJfMjLAmec39IyEx_6qawtMGysU/edit?usp=sharing"",""สบก!BK47"")"),55480)</f>
        <v>55480</v>
      </c>
      <c r="O144" s="169">
        <f ca="1">IF(L144&gt;0,N144*100/L144,0)</f>
        <v>70.22784810126582</v>
      </c>
      <c r="P144" s="169">
        <f ca="1">IF(M144&gt;0,N144*100/M144,0)</f>
        <v>78.555752212389379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537">
        <f ca="1">IFERROR(__xludf.DUMMYFUNCTION("IMPORTRANGE(""https://docs.google.com/spreadsheets/d/1Yj_ptqi66GCucihVvJfMjLAmec39IyEx_6qawtMGysU/edit?usp=sharing"",""สบก!BF47"")"),0)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537">
        <f ca="1">IFERROR(__xludf.DUMMYFUNCTION("IMPORTRANGE(""https://docs.google.com/spreadsheets/d/1Yj_ptqi66GCucihVvJfMjLAmec39IyEx_6qawtMGysU/edit?usp=sharing"",""สบก!BG47"")"),79000)</f>
        <v>79000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52" t="s">
        <v>23</v>
      </c>
      <c r="E147" s="553"/>
      <c r="F147" s="89"/>
      <c r="G147" s="82" t="s">
        <v>18</v>
      </c>
      <c r="H147" s="172" t="s">
        <v>12</v>
      </c>
      <c r="I147" s="188"/>
      <c r="J147" s="188"/>
      <c r="K147" s="224"/>
      <c r="L147" s="535">
        <v>0</v>
      </c>
      <c r="M147" s="535"/>
      <c r="N147" s="41"/>
      <c r="O147" s="535"/>
      <c r="P147" s="535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533">
        <f ca="1">IFERROR(__xludf.DUMMYFUNCTION("IMPORTRANGE(""https://docs.google.com/spreadsheets/d/1Yj_ptqi66GCucihVvJfMjLAmec39IyEx_6qawtMGysU/edit?usp=sharing"",""สบก!BH47"")"),0)</f>
        <v>0</v>
      </c>
      <c r="M148" s="536"/>
      <c r="N148" s="533">
        <f ca="1">IFERROR(__xludf.DUMMYFUNCTION("IMPORTRANGE(""https://docs.google.com/spreadsheets/d/1Yj_ptqi66GCucihVvJfMjLAmec39IyEx_6qawtMGysU/edit?usp=sharing"",""สบก!BL47"")"),0)</f>
        <v>0</v>
      </c>
      <c r="O148" s="536">
        <f ca="1">IF(L148&gt;0,N148*100/L148,0)</f>
        <v>0</v>
      </c>
      <c r="P148" s="536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IFERROR(__xludf.DUMMYFUNCTION("IMPORTRANGE(""https://docs.google.com/spreadsheets/d/1XL5vhW3sbDhbH9Cz0tuDiY8C3ctxq1tqvaCgkFb8cCA/edit?usp=sharing"",""ยโสธร!I74"")"),4)</f>
        <v>4</v>
      </c>
      <c r="J149" s="275">
        <f ca="1">IFERROR(__xludf.DUMMYFUNCTION("IMPORTRANGE(""https://docs.google.com/spreadsheets/d/1XL5vhW3sbDhbH9Cz0tuDiY8C3ctxq1tqvaCgkFb8cCA/edit?usp=sharing"",""ยโสธร!J74"")"),2)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IFERROR(__xludf.DUMMYFUNCTION("IMPORTRANGE(""https://docs.google.com/spreadsheets/d/1XL5vhW3sbDhbH9Cz0tuDiY8C3ctxq1tqvaCgkFb8cCA/edit?usp=sharing"",""ยโสธร!J79"")"),0)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IFERROR(__xludf.DUMMYFUNCTION("IMPORTRANGE(""https://docs.google.com/spreadsheets/d/1XL5vhW3sbDhbH9Cz0tuDiY8C3ctxq1tqvaCgkFb8cCA/edit?usp=sharing"",""ยโสธร!J80"")"),1)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IFERROR(__xludf.DUMMYFUNCTION("IMPORTRANGE(""https://docs.google.com/spreadsheets/d/1XL5vhW3sbDhbH9Cz0tuDiY8C3ctxq1tqvaCgkFb8cCA/edit?usp=sharing"",""ยโสธร!J81"")"),1)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IFERROR(__xludf.DUMMYFUNCTION("IMPORTRANGE(""https://docs.google.com/spreadsheets/d/1XL5vhW3sbDhbH9Cz0tuDiY8C3ctxq1tqvaCgkFb8cCA/edit?usp=sharing"",""ยโสธร!J82"")"),0)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IFERROR(__xludf.DUMMYFUNCTION("IMPORTRANGE(""https://docs.google.com/spreadsheets/d/1XL5vhW3sbDhbH9Cz0tuDiY8C3ctxq1tqvaCgkFb8cCA/edit?usp=sharing"",""ยโสธร!I83"")"),4)</f>
        <v>4</v>
      </c>
      <c r="J158" s="189">
        <f ca="1">IFERROR(__xludf.DUMMYFUNCTION("IMPORTRANGE(""https://docs.google.com/spreadsheets/d/1XL5vhW3sbDhbH9Cz0tuDiY8C3ctxq1tqvaCgkFb8cCA/edit?usp=sharing"",""ยโสธร!J83"")"),2)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IFERROR(__xludf.DUMMYFUNCTION("IMPORTRANGE(""https://docs.google.com/spreadsheets/d/1XL5vhW3sbDhbH9Cz0tuDiY8C3ctxq1tqvaCgkFb8cCA/edit?usp=sharing"",""ยโสธร!J84"")"),30)</f>
        <v>30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IFERROR(__xludf.DUMMYFUNCTION("IMPORTRANGE(""https://docs.google.com/spreadsheets/d/1XL5vhW3sbDhbH9Cz0tuDiY8C3ctxq1tqvaCgkFb8cCA/edit?usp=sharing"",""ยโสธร!J85"")"),30)</f>
        <v>30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IFERROR(__xludf.DUMMYFUNCTION("IMPORTRANGE(""https://docs.google.com/spreadsheets/d/1XL5vhW3sbDhbH9Cz0tuDiY8C3ctxq1tqvaCgkFb8cCA/edit?usp=sharing"",""ยโสธร!J86"")"),0)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IFERROR(__xludf.DUMMYFUNCTION("IMPORTRANGE(""https://docs.google.com/spreadsheets/d/1XL5vhW3sbDhbH9Cz0tuDiY8C3ctxq1tqvaCgkFb8cCA/edit?usp=sharing"",""ยโสธร!J87"")"),0)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IFERROR(__xludf.DUMMYFUNCTION("IMPORTRANGE(""https://docs.google.com/spreadsheets/d/1XL5vhW3sbDhbH9Cz0tuDiY8C3ctxq1tqvaCgkFb8cCA/edit?usp=sharing"",""ยโสธร!J88"")"),0)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IFERROR(__xludf.DUMMYFUNCTION("IMPORTRANGE(""https://docs.google.com/spreadsheets/d/1XL5vhW3sbDhbH9Cz0tuDiY8C3ctxq1tqvaCgkFb8cCA/edit?usp=sharing"",""ยโสธร!I89"")"),3)</f>
        <v>3</v>
      </c>
      <c r="J164" s="284">
        <f ca="1">IFERROR(__xludf.DUMMYFUNCTION("IMPORTRANGE(""https://docs.google.com/spreadsheets/d/1XL5vhW3sbDhbH9Cz0tuDiY8C3ctxq1tqvaCgkFb8cCA/edit?usp=sharing"",""ยโสธร!J89"")"),3)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IFERROR(__xludf.DUMMYFUNCTION("IMPORTRANGE(""https://docs.google.com/spreadsheets/d/1XL5vhW3sbDhbH9Cz0tuDiY8C3ctxq1tqvaCgkFb8cCA/edit?usp=sharing"",""ยโสธร!J94"")"),0)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IFERROR(__xludf.DUMMYFUNCTION("IMPORTRANGE(""https://docs.google.com/spreadsheets/d/1XL5vhW3sbDhbH9Cz0tuDiY8C3ctxq1tqvaCgkFb8cCA/edit?usp=sharing"",""ยโสธร!J95"")"),1)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IFERROR(__xludf.DUMMYFUNCTION("IMPORTRANGE(""https://docs.google.com/spreadsheets/d/1XL5vhW3sbDhbH9Cz0tuDiY8C3ctxq1tqvaCgkFb8cCA/edit?usp=sharing"",""ยโสธร!J96"")"),1)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IFERROR(__xludf.DUMMYFUNCTION("IMPORTRANGE(""https://docs.google.com/spreadsheets/d/1XL5vhW3sbDhbH9Cz0tuDiY8C3ctxq1tqvaCgkFb8cCA/edit?usp=sharing"",""ยโสธร!J97"")"),1)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IFERROR(__xludf.DUMMYFUNCTION("IMPORTRANGE(""https://docs.google.com/spreadsheets/d/1XL5vhW3sbDhbH9Cz0tuDiY8C3ctxq1tqvaCgkFb8cCA/edit?usp=sharing"",""ยโสธร!I98"")"),3)</f>
        <v>3</v>
      </c>
      <c r="J173" s="189">
        <f ca="1">IFERROR(__xludf.DUMMYFUNCTION("IMPORTRANGE(""https://docs.google.com/spreadsheets/d/1XL5vhW3sbDhbH9Cz0tuDiY8C3ctxq1tqvaCgkFb8cCA/edit?usp=sharing"",""ยโสธร!J98"")"),3)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IFERROR(__xludf.DUMMYFUNCTION("IMPORTRANGE(""https://docs.google.com/spreadsheets/d/1XL5vhW3sbDhbH9Cz0tuDiY8C3ctxq1tqvaCgkFb8cCA/edit?usp=sharing"",""ยโสธร!J99"")"),0)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IFERROR(__xludf.DUMMYFUNCTION("IMPORTRANGE(""https://docs.google.com/spreadsheets/d/1XL5vhW3sbDhbH9Cz0tuDiY8C3ctxq1tqvaCgkFb8cCA/edit?usp=sharing"",""ยโสธร!J100"")"),0)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IFERROR(__xludf.DUMMYFUNCTION("IMPORTRANGE(""https://docs.google.com/spreadsheets/d/1XL5vhW3sbDhbH9Cz0tuDiY8C3ctxq1tqvaCgkFb8cCA/edit?usp=sharing"",""ยโสธร!I101"")"),1)</f>
        <v>1</v>
      </c>
      <c r="J176" s="284">
        <f ca="1">IFERROR(__xludf.DUMMYFUNCTION("IMPORTRANGE(""https://docs.google.com/spreadsheets/d/1XL5vhW3sbDhbH9Cz0tuDiY8C3ctxq1tqvaCgkFb8cCA/edit?usp=sharing"",""ยโสธร!J101"")"),1)</f>
        <v>1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IFERROR(__xludf.DUMMYFUNCTION("IMPORTRANGE(""https://docs.google.com/spreadsheets/d/1XL5vhW3sbDhbH9Cz0tuDiY8C3ctxq1tqvaCgkFb8cCA/edit?usp=sharing"",""ยโสธร!J106"")"),0)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IFERROR(__xludf.DUMMYFUNCTION("IMPORTRANGE(""https://docs.google.com/spreadsheets/d/1XL5vhW3sbDhbH9Cz0tuDiY8C3ctxq1tqvaCgkFb8cCA/edit?usp=sharing"",""ยโสธร!J107"")"),1)</f>
        <v>1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IFERROR(__xludf.DUMMYFUNCTION("IMPORTRANGE(""https://docs.google.com/spreadsheets/d/1XL5vhW3sbDhbH9Cz0tuDiY8C3ctxq1tqvaCgkFb8cCA/edit?usp=sharing"",""ยโสธร!J108"")"),1)</f>
        <v>1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IFERROR(__xludf.DUMMYFUNCTION("IMPORTRANGE(""https://docs.google.com/spreadsheets/d/1XL5vhW3sbDhbH9Cz0tuDiY8C3ctxq1tqvaCgkFb8cCA/edit?usp=sharing"",""ยโสธร!J109"")"),1)</f>
        <v>1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IFERROR(__xludf.DUMMYFUNCTION("IMPORTRANGE(""https://docs.google.com/spreadsheets/d/1XL5vhW3sbDhbH9Cz0tuDiY8C3ctxq1tqvaCgkFb8cCA/edit?usp=sharing"",""ยโสธร!I110"")"),1)</f>
        <v>1</v>
      </c>
      <c r="J185" s="204">
        <f ca="1">IFERROR(__xludf.DUMMYFUNCTION("IMPORTRANGE(""https://docs.google.com/spreadsheets/d/1XL5vhW3sbDhbH9Cz0tuDiY8C3ctxq1tqvaCgkFb8cCA/edit?usp=sharing"",""ยโสธร!J110"")"),0)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IFERROR(__xludf.DUMMYFUNCTION("IMPORTRANGE(""https://docs.google.com/spreadsheets/d/1XL5vhW3sbDhbH9Cz0tuDiY8C3ctxq1tqvaCgkFb8cCA/edit?usp=sharing"",""ยโสธร!I111"")"),1)</f>
        <v>1</v>
      </c>
      <c r="J186" s="204">
        <f ca="1">IFERROR(__xludf.DUMMYFUNCTION("IMPORTRANGE(""https://docs.google.com/spreadsheets/d/1XL5vhW3sbDhbH9Cz0tuDiY8C3ctxq1tqvaCgkFb8cCA/edit?usp=sharing"",""ยโสธร!J111"")"),1)</f>
        <v>1</v>
      </c>
      <c r="K186" s="224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IFERROR(__xludf.DUMMYFUNCTION("IMPORTRANGE(""https://docs.google.com/spreadsheets/d/1XL5vhW3sbDhbH9Cz0tuDiY8C3ctxq1tqvaCgkFb8cCA/edit?usp=sharing"",""ยโสธร!J112"")"),0)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IFERROR(__xludf.DUMMYFUNCTION("IMPORTRANGE(""https://docs.google.com/spreadsheets/d/1XL5vhW3sbDhbH9Cz0tuDiY8C3ctxq1tqvaCgkFb8cCA/edit?usp=sharing"",""ยโสธร!J113"")"),0)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IFERROR(__xludf.DUMMYFUNCTION("IMPORTRANGE(""https://docs.google.com/spreadsheets/d/1XL5vhW3sbDhbH9Cz0tuDiY8C3ctxq1tqvaCgkFb8cCA/edit?usp=sharing"",""ยโสธร!I114"")"),30000)</f>
        <v>30000</v>
      </c>
      <c r="J189" s="284">
        <f ca="1">IFERROR(__xludf.DUMMYFUNCTION("IMPORTRANGE(""https://docs.google.com/spreadsheets/d/1XL5vhW3sbDhbH9Cz0tuDiY8C3ctxq1tqvaCgkFb8cCA/edit?usp=sharing"",""ยโสธร!J114"")"),0)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IFERROR(__xludf.DUMMYFUNCTION("IMPORTRANGE(""https://docs.google.com/spreadsheets/d/1XL5vhW3sbDhbH9Cz0tuDiY8C3ctxq1tqvaCgkFb8cCA/edit?usp=sharing"",""ยโสธร!J119"")"),0)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IFERROR(__xludf.DUMMYFUNCTION("IMPORTRANGE(""https://docs.google.com/spreadsheets/d/1XL5vhW3sbDhbH9Cz0tuDiY8C3ctxq1tqvaCgkFb8cCA/edit?usp=sharing"",""ยโสธร!J120"")"),1)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IFERROR(__xludf.DUMMYFUNCTION("IMPORTRANGE(""https://docs.google.com/spreadsheets/d/1XL5vhW3sbDhbH9Cz0tuDiY8C3ctxq1tqvaCgkFb8cCA/edit?usp=sharing"",""ยโสธร!J121"")"),0)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IFERROR(__xludf.DUMMYFUNCTION("IMPORTRANGE(""https://docs.google.com/spreadsheets/d/1XL5vhW3sbDhbH9Cz0tuDiY8C3ctxq1tqvaCgkFb8cCA/edit?usp=sharing"",""ยโสธร!J122"")"),0)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IFERROR(__xludf.DUMMYFUNCTION("IMPORTRANGE(""https://docs.google.com/spreadsheets/d/1XL5vhW3sbDhbH9Cz0tuDiY8C3ctxq1tqvaCgkFb8cCA/edit?usp=sharing"",""ยโสธร!I124"")"),30000)</f>
        <v>30000</v>
      </c>
      <c r="J199" s="189">
        <f ca="1">IFERROR(__xludf.DUMMYFUNCTION("IMPORTRANGE(""https://docs.google.com/spreadsheets/d/1XL5vhW3sbDhbH9Cz0tuDiY8C3ctxq1tqvaCgkFb8cCA/edit?usp=sharing"",""ยโสธร!J124"")"),0)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IFERROR(__xludf.DUMMYFUNCTION("IMPORTRANGE(""https://docs.google.com/spreadsheets/d/1XL5vhW3sbDhbH9Cz0tuDiY8C3ctxq1tqvaCgkFb8cCA/edit?usp=sharing"",""ยโสธร!I125"")"),30000)</f>
        <v>30000</v>
      </c>
      <c r="J200" s="189">
        <f ca="1">IFERROR(__xludf.DUMMYFUNCTION("IMPORTRANGE(""https://docs.google.com/spreadsheets/d/1XL5vhW3sbDhbH9Cz0tuDiY8C3ctxq1tqvaCgkFb8cCA/edit?usp=sharing"",""ยโสธร!J125"")"),0)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IFERROR(__xludf.DUMMYFUNCTION("IMPORTRANGE(""https://docs.google.com/spreadsheets/d/1XL5vhW3sbDhbH9Cz0tuDiY8C3ctxq1tqvaCgkFb8cCA/edit?usp=sharing"",""ยโสธร!I126"")"),0)</f>
        <v>0</v>
      </c>
      <c r="J201" s="189">
        <f ca="1">IFERROR(__xludf.DUMMYFUNCTION("IMPORTRANGE(""https://docs.google.com/spreadsheets/d/1XL5vhW3sbDhbH9Cz0tuDiY8C3ctxq1tqvaCgkFb8cCA/edit?usp=sharing"",""ยโสธร!J126"")"),0)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IFERROR(__xludf.DUMMYFUNCTION("IMPORTRANGE(""https://docs.google.com/spreadsheets/d/1XL5vhW3sbDhbH9Cz0tuDiY8C3ctxq1tqvaCgkFb8cCA/edit?usp=sharing"",""ยโสธร!J127"")"),0)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IFERROR(__xludf.DUMMYFUNCTION("IMPORTRANGE(""https://docs.google.com/spreadsheets/d/1XL5vhW3sbDhbH9Cz0tuDiY8C3ctxq1tqvaCgkFb8cCA/edit?usp=sharing"",""ยโสธร!J128"")"),0)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IFERROR(__xludf.DUMMYFUNCTION("IMPORTRANGE(""https://docs.google.com/spreadsheets/d/1XL5vhW3sbDhbH9Cz0tuDiY8C3ctxq1tqvaCgkFb8cCA/edit?usp=sharing"",""ยโสธร!I129"")"),0)</f>
        <v>0</v>
      </c>
      <c r="J204" s="284">
        <f ca="1">IFERROR(__xludf.DUMMYFUNCTION("IMPORTRANGE(""https://docs.google.com/spreadsheets/d/1XL5vhW3sbDhbH9Cz0tuDiY8C3ctxq1tqvaCgkFb8cCA/edit?usp=sharing"",""ยโสธร!J129"")"),0)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IFERROR(__xludf.DUMMYFUNCTION("IMPORTRANGE(""https://docs.google.com/spreadsheets/d/1XL5vhW3sbDhbH9Cz0tuDiY8C3ctxq1tqvaCgkFb8cCA/edit?usp=sharing"",""ยโสธร!J134"")"),0)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IFERROR(__xludf.DUMMYFUNCTION("IMPORTRANGE(""https://docs.google.com/spreadsheets/d/1XL5vhW3sbDhbH9Cz0tuDiY8C3ctxq1tqvaCgkFb8cCA/edit?usp=sharing"",""ยโสธร!J135"")"),0)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IFERROR(__xludf.DUMMYFUNCTION("IMPORTRANGE(""https://docs.google.com/spreadsheets/d/1XL5vhW3sbDhbH9Cz0tuDiY8C3ctxq1tqvaCgkFb8cCA/edit?usp=sharing"",""ยโสธร!J136"")"),0)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IFERROR(__xludf.DUMMYFUNCTION("IMPORTRANGE(""https://docs.google.com/spreadsheets/d/1XL5vhW3sbDhbH9Cz0tuDiY8C3ctxq1tqvaCgkFb8cCA/edit?usp=sharing"",""ยโสธร!J137"")"),0)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IFERROR(__xludf.DUMMYFUNCTION("IMPORTRANGE(""https://docs.google.com/spreadsheets/d/1XL5vhW3sbDhbH9Cz0tuDiY8C3ctxq1tqvaCgkFb8cCA/edit?usp=sharing"",""ยโสธร!I138"")"),0)</f>
        <v>0</v>
      </c>
      <c r="J213" s="204">
        <f ca="1">IFERROR(__xludf.DUMMYFUNCTION("IMPORTRANGE(""https://docs.google.com/spreadsheets/d/1XL5vhW3sbDhbH9Cz0tuDiY8C3ctxq1tqvaCgkFb8cCA/edit?usp=sharing"",""ยโสธร!J138"")"),0)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IFERROR(__xludf.DUMMYFUNCTION("IMPORTRANGE(""https://docs.google.com/spreadsheets/d/1XL5vhW3sbDhbH9Cz0tuDiY8C3ctxq1tqvaCgkFb8cCA/edit?usp=sharing"",""ยโสธร!I140"")"),0)</f>
        <v>0</v>
      </c>
      <c r="J215" s="204">
        <f ca="1">IFERROR(__xludf.DUMMYFUNCTION("IMPORTRANGE(""https://docs.google.com/spreadsheets/d/1XL5vhW3sbDhbH9Cz0tuDiY8C3ctxq1tqvaCgkFb8cCA/edit?usp=sharing"",""ยโสธร!J140"")"),0)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IFERROR(__xludf.DUMMYFUNCTION("IMPORTRANGE(""https://docs.google.com/spreadsheets/d/1XL5vhW3sbDhbH9Cz0tuDiY8C3ctxq1tqvaCgkFb8cCA/edit?usp=sharing"",""ยโสธร!I141"")"),0)</f>
        <v>0</v>
      </c>
      <c r="J216" s="204">
        <f ca="1">IFERROR(__xludf.DUMMYFUNCTION("IMPORTRANGE(""https://docs.google.com/spreadsheets/d/1XL5vhW3sbDhbH9Cz0tuDiY8C3ctxq1tqvaCgkFb8cCA/edit?usp=sharing"",""ยโสธร!J141"")"),0)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IFERROR(__xludf.DUMMYFUNCTION("IMPORTRANGE(""https://docs.google.com/spreadsheets/d/1XL5vhW3sbDhbH9Cz0tuDiY8C3ctxq1tqvaCgkFb8cCA/edit?usp=sharing"",""ยโสธร!J142"")"),0)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IFERROR(__xludf.DUMMYFUNCTION("IMPORTRANGE(""https://docs.google.com/spreadsheets/d/1XL5vhW3sbDhbH9Cz0tuDiY8C3ctxq1tqvaCgkFb8cCA/edit?usp=sharing"",""ยโสธร!J143"")"),0)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IFERROR(__xludf.DUMMYFUNCTION("IMPORTRANGE(""https://docs.google.com/spreadsheets/d/1XL5vhW3sbDhbH9Cz0tuDiY8C3ctxq1tqvaCgkFb8cCA/edit?usp=sharing"",""ยโสธร!I144"")"),14)</f>
        <v>14</v>
      </c>
      <c r="J219" s="267">
        <f ca="1">IFERROR(__xludf.DUMMYFUNCTION("IMPORTRANGE(""https://docs.google.com/spreadsheets/d/1XL5vhW3sbDhbH9Cz0tuDiY8C3ctxq1tqvaCgkFb8cCA/edit?usp=sharing"",""ยโสธร!J144"")"),14)</f>
        <v>14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54" t="s">
        <v>17</v>
      </c>
      <c r="E220" s="555"/>
      <c r="F220" s="555"/>
      <c r="G220" s="555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52" t="s">
        <v>20</v>
      </c>
      <c r="E223" s="553"/>
      <c r="F223" s="55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537">
        <f ca="1">IFERROR(__xludf.DUMMYFUNCTION("IMPORTRANGE(""https://docs.google.com/spreadsheets/d/1Yj_ptqi66GCucihVvJfMjLAmec39IyEx_6qawtMGysU/edit?usp=sharing"",""สบก!BS47"")"),20210)</f>
        <v>20210</v>
      </c>
      <c r="N224" s="538">
        <f ca="1">IFERROR(__xludf.DUMMYFUNCTION("IMPORTRANGE(""https://docs.google.com/spreadsheets/d/1Yj_ptqi66GCucihVvJfMjLAmec39IyEx_6qawtMGysU/edit?usp=sharing"",""สบก!BT47"")"),20210)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537">
        <f ca="1">IFERROR(__xludf.DUMMYFUNCTION("IMPORTRANGE(""https://docs.google.com/spreadsheets/d/1Yj_ptqi66GCucihVvJfMjLAmec39IyEx_6qawtMGysU/edit?usp=sharing"",""สบก!BO47"")"),0)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537">
        <f ca="1">IFERROR(__xludf.DUMMYFUNCTION("IMPORTRANGE(""https://docs.google.com/spreadsheets/d/1Yj_ptqi66GCucihVvJfMjLAmec39IyEx_6qawtMGysU/edit?usp=sharing"",""สบก!BP47"")"),20210)</f>
        <v>20210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52" t="s">
        <v>23</v>
      </c>
      <c r="E227" s="553"/>
      <c r="F227" s="89"/>
      <c r="G227" s="82" t="s">
        <v>18</v>
      </c>
      <c r="H227" s="172" t="s">
        <v>12</v>
      </c>
      <c r="I227" s="201"/>
      <c r="J227" s="201"/>
      <c r="K227" s="290"/>
      <c r="L227" s="535">
        <v>0</v>
      </c>
      <c r="M227" s="535"/>
      <c r="N227" s="41"/>
      <c r="O227" s="535"/>
      <c r="P227" s="535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533">
        <f ca="1">IFERROR(__xludf.DUMMYFUNCTION("IMPORTRANGE(""https://docs.google.com/spreadsheets/d/1Yj_ptqi66GCucihVvJfMjLAmec39IyEx_6qawtMGysU/edit?usp=sharing"",""สบก!BQ47"")"),0)</f>
        <v>0</v>
      </c>
      <c r="M228" s="536"/>
      <c r="N228" s="533">
        <f ca="1">IFERROR(__xludf.DUMMYFUNCTION("IMPORTRANGE(""https://docs.google.com/spreadsheets/d/1Yj_ptqi66GCucihVvJfMjLAmec39IyEx_6qawtMGysU/edit?usp=sharing"",""สบก!BU47"")"),0)</f>
        <v>0</v>
      </c>
      <c r="O228" s="536">
        <f ca="1">IF(L228&gt;0,N228*100/L228,0)</f>
        <v>0</v>
      </c>
      <c r="P228" s="536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IFERROR(__xludf.DUMMYFUNCTION("IMPORTRANGE(""https://docs.google.com/spreadsheets/d/1XL5vhW3sbDhbH9Cz0tuDiY8C3ctxq1tqvaCgkFb8cCA/edit?usp=sharing"",""ยโสธร!I149"")"),14)</f>
        <v>14</v>
      </c>
      <c r="J229" s="267">
        <f ca="1">IFERROR(__xludf.DUMMYFUNCTION("IMPORTRANGE(""https://docs.google.com/spreadsheets/d/1XL5vhW3sbDhbH9Cz0tuDiY8C3ctxq1tqvaCgkFb8cCA/edit?usp=sharing"",""ยโสธร!J149"")"),14)</f>
        <v>14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IFERROR(__xludf.DUMMYFUNCTION("IMPORTRANGE(""https://docs.google.com/spreadsheets/d/1XL5vhW3sbDhbH9Cz0tuDiY8C3ctxq1tqvaCgkFb8cCA/edit?usp=sharing"",""ยโสธร!J151"")"),0)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IFERROR(__xludf.DUMMYFUNCTION("IMPORTRANGE(""https://docs.google.com/spreadsheets/d/1XL5vhW3sbDhbH9Cz0tuDiY8C3ctxq1tqvaCgkFb8cCA/edit?usp=sharing"",""ยโสธร!J152"")"),1)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IFERROR(__xludf.DUMMYFUNCTION("IMPORTRANGE(""https://docs.google.com/spreadsheets/d/1XL5vhW3sbDhbH9Cz0tuDiY8C3ctxq1tqvaCgkFb8cCA/edit?usp=sharing"",""ยโสธร!J153"")"),1)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IFERROR(__xludf.DUMMYFUNCTION("IMPORTRANGE(""https://docs.google.com/spreadsheets/d/1XL5vhW3sbDhbH9Cz0tuDiY8C3ctxq1tqvaCgkFb8cCA/edit?usp=sharing"",""ยโสธร!J154"")"),1)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IFERROR(__xludf.DUMMYFUNCTION("IMPORTRANGE(""https://docs.google.com/spreadsheets/d/1XL5vhW3sbDhbH9Cz0tuDiY8C3ctxq1tqvaCgkFb8cCA/edit?usp=sharing"",""ยโสธร!I155"")"),14)</f>
        <v>14</v>
      </c>
      <c r="J235" s="189">
        <f ca="1">IFERROR(__xludf.DUMMYFUNCTION("IMPORTRANGE(""https://docs.google.com/spreadsheets/d/1XL5vhW3sbDhbH9Cz0tuDiY8C3ctxq1tqvaCgkFb8cCA/edit?usp=sharing"",""ยโสธร!J155"")"),14)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IFERROR(__xludf.DUMMYFUNCTION("IMPORTRANGE(""https://docs.google.com/spreadsheets/d/1XL5vhW3sbDhbH9Cz0tuDiY8C3ctxq1tqvaCgkFb8cCA/edit?usp=sharing"",""ยโสธร!J156"")"),0)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IFERROR(__xludf.DUMMYFUNCTION("IMPORTRANGE(""https://docs.google.com/spreadsheets/d/1XL5vhW3sbDhbH9Cz0tuDiY8C3ctxq1tqvaCgkFb8cCA/edit?usp=sharing"",""ยโสธร!J157"")"),0)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IFERROR(__xludf.DUMMYFUNCTION("IMPORTRANGE(""https://docs.google.com/spreadsheets/d/1XL5vhW3sbDhbH9Cz0tuDiY8C3ctxq1tqvaCgkFb8cCA/edit?usp=sharing"",""ยโสธร!I158"")"),0)</f>
        <v>0</v>
      </c>
      <c r="J238" s="267">
        <f ca="1">IFERROR(__xludf.DUMMYFUNCTION("IMPORTRANGE(""https://docs.google.com/spreadsheets/d/1XL5vhW3sbDhbH9Cz0tuDiY8C3ctxq1tqvaCgkFb8cCA/edit?usp=sharing"",""ยโสธร!J158"")"),0)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IFERROR(__xludf.DUMMYFUNCTION("IMPORTRANGE(""https://docs.google.com/spreadsheets/d/1XL5vhW3sbDhbH9Cz0tuDiY8C3ctxq1tqvaCgkFb8cCA/edit?usp=sharing"",""ยโสธร!J159"")"),"")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IFERROR(__xludf.DUMMYFUNCTION("IMPORTRANGE(""https://docs.google.com/spreadsheets/d/1XL5vhW3sbDhbH9Cz0tuDiY8C3ctxq1tqvaCgkFb8cCA/edit?usp=sharing"",""ยโสธร!J161"")"),0)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IFERROR(__xludf.DUMMYFUNCTION("IMPORTRANGE(""https://docs.google.com/spreadsheets/d/1XL5vhW3sbDhbH9Cz0tuDiY8C3ctxq1tqvaCgkFb8cCA/edit?usp=sharing"",""ยโสธร!J162"")"),0)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IFERROR(__xludf.DUMMYFUNCTION("IMPORTRANGE(""https://docs.google.com/spreadsheets/d/1XL5vhW3sbDhbH9Cz0tuDiY8C3ctxq1tqvaCgkFb8cCA/edit?usp=sharing"",""ยโสธร!J163"")"),0)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IFERROR(__xludf.DUMMYFUNCTION("IMPORTRANGE(""https://docs.google.com/spreadsheets/d/1XL5vhW3sbDhbH9Cz0tuDiY8C3ctxq1tqvaCgkFb8cCA/edit?usp=sharing"",""ยโสธร!I164"")"),0)</f>
        <v>0</v>
      </c>
      <c r="J244" s="188">
        <f ca="1">IFERROR(__xludf.DUMMYFUNCTION("IMPORTRANGE(""https://docs.google.com/spreadsheets/d/1XL5vhW3sbDhbH9Cz0tuDiY8C3ctxq1tqvaCgkFb8cCA/edit?usp=sharing"",""ยโสธร!J164"")"),0)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IFERROR(__xludf.DUMMYFUNCTION("IMPORTRANGE(""https://docs.google.com/spreadsheets/d/1XL5vhW3sbDhbH9Cz0tuDiY8C3ctxq1tqvaCgkFb8cCA/edit?usp=sharing"",""ยโสธร!J165"")"),0)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IFERROR(__xludf.DUMMYFUNCTION("IMPORTRANGE(""https://docs.google.com/spreadsheets/d/1XL5vhW3sbDhbH9Cz0tuDiY8C3ctxq1tqvaCgkFb8cCA/edit?usp=sharing"",""ยโสธร!J166"")"),0)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IFERROR(__xludf.DUMMYFUNCTION("IMPORTRANGE(""https://docs.google.com/spreadsheets/d/1XL5vhW3sbDhbH9Cz0tuDiY8C3ctxq1tqvaCgkFb8cCA/edit?usp=sharing"",""ยโสธร!I169"")"),0)</f>
        <v>0</v>
      </c>
      <c r="J249" s="316">
        <f ca="1">IFERROR(__xludf.DUMMYFUNCTION("IMPORTRANGE(""https://docs.google.com/spreadsheets/d/1XL5vhW3sbDhbH9Cz0tuDiY8C3ctxq1tqvaCgkFb8cCA/edit?usp=sharing"",""ยโสธร!J169"")"),0)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54" t="s">
        <v>17</v>
      </c>
      <c r="E250" s="555"/>
      <c r="F250" s="555"/>
      <c r="G250" s="55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52" t="s">
        <v>20</v>
      </c>
      <c r="E253" s="553"/>
      <c r="F253" s="55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537">
        <f ca="1">IFERROR(__xludf.DUMMYFUNCTION("IMPORTRANGE(""https://docs.google.com/spreadsheets/d/1Yj_ptqi66GCucihVvJfMjLAmec39IyEx_6qawtMGysU/edit?usp=sharing"",""สบก!CB47"")"),0)</f>
        <v>0</v>
      </c>
      <c r="N254" s="538">
        <f ca="1">IFERROR(__xludf.DUMMYFUNCTION("IMPORTRANGE(""https://docs.google.com/spreadsheets/d/1Yj_ptqi66GCucihVvJfMjLAmec39IyEx_6qawtMGysU/edit?usp=sharing"",""สบก!CC47"")"),0)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537">
        <f ca="1">IFERROR(__xludf.DUMMYFUNCTION("IMPORTRANGE(""https://docs.google.com/spreadsheets/d/1Yj_ptqi66GCucihVvJfMjLAmec39IyEx_6qawtMGysU/edit?usp=sharing"",""สบก!BX47"")"),0)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537">
        <f ca="1">IFERROR(__xludf.DUMMYFUNCTION("IMPORTRANGE(""https://docs.google.com/spreadsheets/d/1Yj_ptqi66GCucihVvJfMjLAmec39IyEx_6qawtMGysU/edit?usp=sharing"",""สบก!BY47"")"),0)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52" t="s">
        <v>23</v>
      </c>
      <c r="E257" s="553"/>
      <c r="F257" s="89"/>
      <c r="G257" s="82" t="s">
        <v>18</v>
      </c>
      <c r="H257" s="172" t="s">
        <v>12</v>
      </c>
      <c r="I257" s="162"/>
      <c r="J257" s="162"/>
      <c r="K257" s="163"/>
      <c r="L257" s="535">
        <v>0</v>
      </c>
      <c r="M257" s="535"/>
      <c r="N257" s="41"/>
      <c r="O257" s="535"/>
      <c r="P257" s="535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533">
        <f ca="1">IFERROR(__xludf.DUMMYFUNCTION("IMPORTRANGE(""https://docs.google.com/spreadsheets/d/1Yj_ptqi66GCucihVvJfMjLAmec39IyEx_6qawtMGysU/edit?usp=sharing"",""สบก!BZ47"")"),0)</f>
        <v>0</v>
      </c>
      <c r="M258" s="536"/>
      <c r="N258" s="533">
        <f ca="1">IFERROR(__xludf.DUMMYFUNCTION("IMPORTRANGE(""https://docs.google.com/spreadsheets/d/1Yj_ptqi66GCucihVvJfMjLAmec39IyEx_6qawtMGysU/edit?usp=sharing"",""สบก!CD47"")"),0)</f>
        <v>0</v>
      </c>
      <c r="O258" s="536">
        <f ca="1">IF(L258&gt;0,N258*100/L258,0)</f>
        <v>0</v>
      </c>
      <c r="P258" s="536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IFERROR(__xludf.DUMMYFUNCTION("IMPORTRANGE(""https://docs.google.com/spreadsheets/d/1XL5vhW3sbDhbH9Cz0tuDiY8C3ctxq1tqvaCgkFb8cCA/edit?usp=sharing"",""ยโสธร!J175"")"),0)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IFERROR(__xludf.DUMMYFUNCTION("IMPORTRANGE(""https://docs.google.com/spreadsheets/d/1XL5vhW3sbDhbH9Cz0tuDiY8C3ctxq1tqvaCgkFb8cCA/edit?usp=sharing"",""ยโสธร!J176"")"),0)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IFERROR(__xludf.DUMMYFUNCTION("IMPORTRANGE(""https://docs.google.com/spreadsheets/d/1XL5vhW3sbDhbH9Cz0tuDiY8C3ctxq1tqvaCgkFb8cCA/edit?usp=sharing"",""ยโสธร!J177"")"),0)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IFERROR(__xludf.DUMMYFUNCTION("IMPORTRANGE(""https://docs.google.com/spreadsheets/d/1XL5vhW3sbDhbH9Cz0tuDiY8C3ctxq1tqvaCgkFb8cCA/edit?usp=sharing"",""ยโสธร!J178"")"),0)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IFERROR(__xludf.DUMMYFUNCTION("IMPORTRANGE(""https://docs.google.com/spreadsheets/d/1XL5vhW3sbDhbH9Cz0tuDiY8C3ctxq1tqvaCgkFb8cCA/edit?usp=sharing"",""ยโสธร!I179"")"),0)</f>
        <v>0</v>
      </c>
      <c r="J264" s="189">
        <f ca="1">IFERROR(__xludf.DUMMYFUNCTION("IMPORTRANGE(""https://docs.google.com/spreadsheets/d/1XL5vhW3sbDhbH9Cz0tuDiY8C3ctxq1tqvaCgkFb8cCA/edit?usp=sharing"",""ยโสธร!J179"")"),0)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IFERROR(__xludf.DUMMYFUNCTION("IMPORTRANGE(""https://docs.google.com/spreadsheets/d/1XL5vhW3sbDhbH9Cz0tuDiY8C3ctxq1tqvaCgkFb8cCA/edit?usp=sharing"",""ยโสธร!I180"")"),0)</f>
        <v>0</v>
      </c>
      <c r="J265" s="189">
        <f ca="1">IFERROR(__xludf.DUMMYFUNCTION("IMPORTRANGE(""https://docs.google.com/spreadsheets/d/1XL5vhW3sbDhbH9Cz0tuDiY8C3ctxq1tqvaCgkFb8cCA/edit?usp=sharing"",""ยโสธร!J180"")"),0)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IFERROR(__xludf.DUMMYFUNCTION("IMPORTRANGE(""https://docs.google.com/spreadsheets/d/1XL5vhW3sbDhbH9Cz0tuDiY8C3ctxq1tqvaCgkFb8cCA/edit?usp=sharing"",""ยโสธร!I181"")"),0)</f>
        <v>0</v>
      </c>
      <c r="J266" s="189">
        <f ca="1">IFERROR(__xludf.DUMMYFUNCTION("IMPORTRANGE(""https://docs.google.com/spreadsheets/d/1XL5vhW3sbDhbH9Cz0tuDiY8C3ctxq1tqvaCgkFb8cCA/edit?usp=sharing"",""ยโสธร!J181"")"),0)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IFERROR(__xludf.DUMMYFUNCTION("IMPORTRANGE(""https://docs.google.com/spreadsheets/d/1XL5vhW3sbDhbH9Cz0tuDiY8C3ctxq1tqvaCgkFb8cCA/edit?usp=sharing"",""ยโสธร!I182"")"),0)</f>
        <v>0</v>
      </c>
      <c r="J267" s="189">
        <f ca="1">IFERROR(__xludf.DUMMYFUNCTION("IMPORTRANGE(""https://docs.google.com/spreadsheets/d/1XL5vhW3sbDhbH9Cz0tuDiY8C3ctxq1tqvaCgkFb8cCA/edit?usp=sharing"",""ยโสธร!J182"")"),0)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IFERROR(__xludf.DUMMYFUNCTION("IMPORTRANGE(""https://docs.google.com/spreadsheets/d/1XL5vhW3sbDhbH9Cz0tuDiY8C3ctxq1tqvaCgkFb8cCA/edit?usp=sharing"",""ยโสธร!J183"")"),0)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IFERROR(__xludf.DUMMYFUNCTION("IMPORTRANGE(""https://docs.google.com/spreadsheets/d/1XL5vhW3sbDhbH9Cz0tuDiY8C3ctxq1tqvaCgkFb8cCA/edit?usp=sharing"",""ยโสธร!J184"")"),0)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IFERROR(__xludf.DUMMYFUNCTION("IMPORTRANGE(""https://docs.google.com/spreadsheets/d/1XL5vhW3sbDhbH9Cz0tuDiY8C3ctxq1tqvaCgkFb8cCA/edit?usp=sharing"",""ยโสธร!I185"")"),15)</f>
        <v>15</v>
      </c>
      <c r="J270" s="316">
        <f ca="1">IFERROR(__xludf.DUMMYFUNCTION("IMPORTRANGE(""https://docs.google.com/spreadsheets/d/1XL5vhW3sbDhbH9Cz0tuDiY8C3ctxq1tqvaCgkFb8cCA/edit?usp=sharing"",""ยโสธร!J185"")"),15)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54" t="s">
        <v>17</v>
      </c>
      <c r="E271" s="555"/>
      <c r="F271" s="555"/>
      <c r="G271" s="555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31060</v>
      </c>
      <c r="O271" s="151">
        <f t="shared" ref="O271:O273" ca="1" si="84">IF(L271&gt;0,N271*100/L271,0)</f>
        <v>56.268115942028984</v>
      </c>
      <c r="P271" s="151">
        <f t="shared" ref="P271:P273" ca="1" si="85">IF(M271&gt;0,N271*100/M271,0)</f>
        <v>96.310077519379846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31060</v>
      </c>
      <c r="O273" s="156">
        <f t="shared" ca="1" si="84"/>
        <v>56.268115942028984</v>
      </c>
      <c r="P273" s="156">
        <f t="shared" ca="1" si="85"/>
        <v>96.310077519379846</v>
      </c>
    </row>
    <row r="274" spans="1:16" ht="21.75" customHeight="1" x14ac:dyDescent="0.45">
      <c r="A274" s="158"/>
      <c r="B274" s="159"/>
      <c r="C274" s="159" t="s">
        <v>16</v>
      </c>
      <c r="D274" s="552" t="s">
        <v>20</v>
      </c>
      <c r="E274" s="553"/>
      <c r="F274" s="55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537">
        <f ca="1">IFERROR(__xludf.DUMMYFUNCTION("IMPORTRANGE(""https://docs.google.com/spreadsheets/d/1Yj_ptqi66GCucihVvJfMjLAmec39IyEx_6qawtMGysU/edit?usp=sharing"",""สบก!CK47"")"),32250)</f>
        <v>32250</v>
      </c>
      <c r="N275" s="538">
        <f ca="1">IFERROR(__xludf.DUMMYFUNCTION("IMPORTRANGE(""https://docs.google.com/spreadsheets/d/1Yj_ptqi66GCucihVvJfMjLAmec39IyEx_6qawtMGysU/edit?usp=sharing"",""สบก!CL47"")"),31060)</f>
        <v>31060</v>
      </c>
      <c r="O275" s="169">
        <f ca="1">IF(L275&gt;0,N275*100/L275,0)</f>
        <v>56.268115942028984</v>
      </c>
      <c r="P275" s="169">
        <f ca="1">IF(M275&gt;0,N275*100/M275,0)</f>
        <v>96.310077519379846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537">
        <f ca="1">IFERROR(__xludf.DUMMYFUNCTION("IMPORTRANGE(""https://docs.google.com/spreadsheets/d/1Yj_ptqi66GCucihVvJfMjLAmec39IyEx_6qawtMGysU/edit?usp=sharing"",""สบก!CG47"")"),0)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537">
        <f ca="1">IFERROR(__xludf.DUMMYFUNCTION("IMPORTRANGE(""https://docs.google.com/spreadsheets/d/1Yj_ptqi66GCucihVvJfMjLAmec39IyEx_6qawtMGysU/edit?usp=sharing"",""สบก!CH47"")"),55200)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52" t="s">
        <v>23</v>
      </c>
      <c r="E278" s="553"/>
      <c r="F278" s="89"/>
      <c r="G278" s="82" t="s">
        <v>18</v>
      </c>
      <c r="H278" s="172" t="s">
        <v>12</v>
      </c>
      <c r="I278" s="162"/>
      <c r="J278" s="162"/>
      <c r="K278" s="163"/>
      <c r="L278" s="535">
        <v>0</v>
      </c>
      <c r="M278" s="535"/>
      <c r="N278" s="41"/>
      <c r="O278" s="535"/>
      <c r="P278" s="535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533">
        <f ca="1">IFERROR(__xludf.DUMMYFUNCTION("IMPORTRANGE(""https://docs.google.com/spreadsheets/d/1Yj_ptqi66GCucihVvJfMjLAmec39IyEx_6qawtMGysU/edit?usp=sharing"",""สบก!CI47"")"),0)</f>
        <v>0</v>
      </c>
      <c r="M279" s="536"/>
      <c r="N279" s="533">
        <f ca="1">IFERROR(__xludf.DUMMYFUNCTION("IMPORTRANGE(""https://docs.google.com/spreadsheets/d/1Yj_ptqi66GCucihVvJfMjLAmec39IyEx_6qawtMGysU/edit?usp=sharing"",""สบก!CM47"")"),0)</f>
        <v>0</v>
      </c>
      <c r="O279" s="536">
        <f ca="1">IF(L279&gt;0,N279*100/L279,0)</f>
        <v>0</v>
      </c>
      <c r="P279" s="536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IFERROR(__xludf.DUMMYFUNCTION("IMPORTRANGE(""https://docs.google.com/spreadsheets/d/1XL5vhW3sbDhbH9Cz0tuDiY8C3ctxq1tqvaCgkFb8cCA/edit?usp=sharing"",""ยโสธร!J191"")"),0)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IFERROR(__xludf.DUMMYFUNCTION("IMPORTRANGE(""https://docs.google.com/spreadsheets/d/1XL5vhW3sbDhbH9Cz0tuDiY8C3ctxq1tqvaCgkFb8cCA/edit?usp=sharing"",""ยโสธร!J192"")"),1)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IFERROR(__xludf.DUMMYFUNCTION("IMPORTRANGE(""https://docs.google.com/spreadsheets/d/1XL5vhW3sbDhbH9Cz0tuDiY8C3ctxq1tqvaCgkFb8cCA/edit?usp=sharing"",""ยโสธร!J193"")"),1)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IFERROR(__xludf.DUMMYFUNCTION("IMPORTRANGE(""https://docs.google.com/spreadsheets/d/1XL5vhW3sbDhbH9Cz0tuDiY8C3ctxq1tqvaCgkFb8cCA/edit?usp=sharing"",""ยโสธร!J194"")"),1)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IFERROR(__xludf.DUMMYFUNCTION("IMPORTRANGE(""https://docs.google.com/spreadsheets/d/1XL5vhW3sbDhbH9Cz0tuDiY8C3ctxq1tqvaCgkFb8cCA/edit?usp=sharing"",""ยโสธร!I195"")"),15)</f>
        <v>15</v>
      </c>
      <c r="J285" s="189">
        <f ca="1">IFERROR(__xludf.DUMMYFUNCTION("IMPORTRANGE(""https://docs.google.com/spreadsheets/d/1XL5vhW3sbDhbH9Cz0tuDiY8C3ctxq1tqvaCgkFb8cCA/edit?usp=sharing"",""ยโสธร!J195"")"),15)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IFERROR(__xludf.DUMMYFUNCTION("IMPORTRANGE(""https://docs.google.com/spreadsheets/d/1XL5vhW3sbDhbH9Cz0tuDiY8C3ctxq1tqvaCgkFb8cCA/edit?usp=sharing"",""ยโสธร!J196"")"),0)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IFERROR(__xludf.DUMMYFUNCTION("IMPORTRANGE(""https://docs.google.com/spreadsheets/d/1XL5vhW3sbDhbH9Cz0tuDiY8C3ctxq1tqvaCgkFb8cCA/edit?usp=sharing"",""ยโสธร!J197"")"),0)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IFERROR(__xludf.DUMMYFUNCTION("IMPORTRANGE(""https://docs.google.com/spreadsheets/d/1XL5vhW3sbDhbH9Cz0tuDiY8C3ctxq1tqvaCgkFb8cCA/edit?usp=sharing"",""ยโสธร!I199"")"),0)</f>
        <v>0</v>
      </c>
      <c r="J289" s="316">
        <f ca="1">IFERROR(__xludf.DUMMYFUNCTION("IMPORTRANGE(""https://docs.google.com/spreadsheets/d/1XL5vhW3sbDhbH9Cz0tuDiY8C3ctxq1tqvaCgkFb8cCA/edit?usp=sharing"",""ยโสธร!J199"")"),0)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54" t="s">
        <v>17</v>
      </c>
      <c r="E290" s="555"/>
      <c r="F290" s="555"/>
      <c r="G290" s="55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52" t="s">
        <v>20</v>
      </c>
      <c r="E293" s="553"/>
      <c r="F293" s="55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537">
        <f ca="1">IFERROR(__xludf.DUMMYFUNCTION("IMPORTRANGE(""https://docs.google.com/spreadsheets/d/1Yj_ptqi66GCucihVvJfMjLAmec39IyEx_6qawtMGysU/edit?usp=sharing"",""สบก!CT47"")"),0)</f>
        <v>0</v>
      </c>
      <c r="N294" s="538">
        <f ca="1">IFERROR(__xludf.DUMMYFUNCTION("IMPORTRANGE(""https://docs.google.com/spreadsheets/d/1Yj_ptqi66GCucihVvJfMjLAmec39IyEx_6qawtMGysU/edit?usp=sharing"",""สบก!CU47"")"),0)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537">
        <f ca="1">IFERROR(__xludf.DUMMYFUNCTION("IMPORTRANGE(""https://docs.google.com/spreadsheets/d/1Yj_ptqi66GCucihVvJfMjLAmec39IyEx_6qawtMGysU/edit?usp=sharing"",""สบก!CP47"")"),0)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537">
        <f ca="1">IFERROR(__xludf.DUMMYFUNCTION("IMPORTRANGE(""https://docs.google.com/spreadsheets/d/1Yj_ptqi66GCucihVvJfMjLAmec39IyEx_6qawtMGysU/edit?usp=sharing"",""สบก!CQ47"")"),0)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52" t="s">
        <v>23</v>
      </c>
      <c r="E297" s="553"/>
      <c r="F297" s="89"/>
      <c r="G297" s="82" t="s">
        <v>18</v>
      </c>
      <c r="H297" s="172" t="s">
        <v>12</v>
      </c>
      <c r="I297" s="188"/>
      <c r="J297" s="188"/>
      <c r="K297" s="224"/>
      <c r="L297" s="535">
        <v>0</v>
      </c>
      <c r="M297" s="535"/>
      <c r="N297" s="41"/>
      <c r="O297" s="535"/>
      <c r="P297" s="535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533">
        <f ca="1">IFERROR(__xludf.DUMMYFUNCTION("IMPORTRANGE(""https://docs.google.com/spreadsheets/d/1Yj_ptqi66GCucihVvJfMjLAmec39IyEx_6qawtMGysU/edit?usp=sharing"",""สบก!CR47"")"),0)</f>
        <v>0</v>
      </c>
      <c r="M298" s="536"/>
      <c r="N298" s="533">
        <f ca="1">IFERROR(__xludf.DUMMYFUNCTION("IMPORTRANGE(""https://docs.google.com/spreadsheets/d/1Yj_ptqi66GCucihVvJfMjLAmec39IyEx_6qawtMGysU/edit?usp=sharing"",""สบก!CV47"")"),0)</f>
        <v>0</v>
      </c>
      <c r="O298" s="536">
        <f ca="1">IF(L298&gt;0,N298*100/L298,0)</f>
        <v>0</v>
      </c>
      <c r="P298" s="536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IFERROR(__xludf.DUMMYFUNCTION("IMPORTRANGE(""https://docs.google.com/spreadsheets/d/1XL5vhW3sbDhbH9Cz0tuDiY8C3ctxq1tqvaCgkFb8cCA/edit?usp=sharing"",""ยโสธร!J205"")"),0)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IFERROR(__xludf.DUMMYFUNCTION("IMPORTRANGE(""https://docs.google.com/spreadsheets/d/1XL5vhW3sbDhbH9Cz0tuDiY8C3ctxq1tqvaCgkFb8cCA/edit?usp=sharing"",""ยโสธร!J206"")"),0)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IFERROR(__xludf.DUMMYFUNCTION("IMPORTRANGE(""https://docs.google.com/spreadsheets/d/1XL5vhW3sbDhbH9Cz0tuDiY8C3ctxq1tqvaCgkFb8cCA/edit?usp=sharing"",""ยโสธร!J207"")"),0)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IFERROR(__xludf.DUMMYFUNCTION("IMPORTRANGE(""https://docs.google.com/spreadsheets/d/1XL5vhW3sbDhbH9Cz0tuDiY8C3ctxq1tqvaCgkFb8cCA/edit?usp=sharing"",""ยโสธร!J208"")"),0)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IFERROR(__xludf.DUMMYFUNCTION("IMPORTRANGE(""https://docs.google.com/spreadsheets/d/1XL5vhW3sbDhbH9Cz0tuDiY8C3ctxq1tqvaCgkFb8cCA/edit?usp=sharing"",""ยโสธร!I209"")"),0)</f>
        <v>0</v>
      </c>
      <c r="J304" s="204">
        <f ca="1">IFERROR(__xludf.DUMMYFUNCTION("IMPORTRANGE(""https://docs.google.com/spreadsheets/d/1XL5vhW3sbDhbH9Cz0tuDiY8C3ctxq1tqvaCgkFb8cCA/edit?usp=sharing"",""ยโสธร!J209"")"),0)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IFERROR(__xludf.DUMMYFUNCTION("IMPORTRANGE(""https://docs.google.com/spreadsheets/d/1XL5vhW3sbDhbH9Cz0tuDiY8C3ctxq1tqvaCgkFb8cCA/edit?usp=sharing"",""ยโสธร!I211"")"),0)</f>
        <v>0</v>
      </c>
      <c r="J306" s="204">
        <f ca="1">IFERROR(__xludf.DUMMYFUNCTION("IMPORTRANGE(""https://docs.google.com/spreadsheets/d/1XL5vhW3sbDhbH9Cz0tuDiY8C3ctxq1tqvaCgkFb8cCA/edit?usp=sharing"",""ยโสธร!J211"")"),0)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IFERROR(__xludf.DUMMYFUNCTION("IMPORTRANGE(""https://docs.google.com/spreadsheets/d/1XL5vhW3sbDhbH9Cz0tuDiY8C3ctxq1tqvaCgkFb8cCA/edit?usp=sharing"",""ยโสธร!J212"")"),0)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IFERROR(__xludf.DUMMYFUNCTION("IMPORTRANGE(""https://docs.google.com/spreadsheets/d/1XL5vhW3sbDhbH9Cz0tuDiY8C3ctxq1tqvaCgkFb8cCA/edit?usp=sharing"",""ยโสธร!J213"")"),0)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IFERROR(__xludf.DUMMYFUNCTION("IMPORTRANGE(""https://docs.google.com/spreadsheets/d/1XL5vhW3sbDhbH9Cz0tuDiY8C3ctxq1tqvaCgkFb8cCA/edit?usp=sharing"",""ยโสธร!I214"")"),0)</f>
        <v>0</v>
      </c>
      <c r="J309" s="333">
        <f ca="1">IFERROR(__xludf.DUMMYFUNCTION("IMPORTRANGE(""https://docs.google.com/spreadsheets/d/1XL5vhW3sbDhbH9Cz0tuDiY8C3ctxq1tqvaCgkFb8cCA/edit?usp=sharing"",""ยโสธร!J214"")"),0)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54" t="s">
        <v>17</v>
      </c>
      <c r="E310" s="555"/>
      <c r="F310" s="555"/>
      <c r="G310" s="55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52" t="s">
        <v>20</v>
      </c>
      <c r="E313" s="553"/>
      <c r="F313" s="55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537">
        <f ca="1">IFERROR(__xludf.DUMMYFUNCTION("IMPORTRANGE(""https://docs.google.com/spreadsheets/d/1Yj_ptqi66GCucihVvJfMjLAmec39IyEx_6qawtMGysU/edit?usp=sharing"",""สบก!DC47"")"),0)</f>
        <v>0</v>
      </c>
      <c r="N314" s="538">
        <f ca="1">IFERROR(__xludf.DUMMYFUNCTION("IMPORTRANGE(""https://docs.google.com/spreadsheets/d/1Yj_ptqi66GCucihVvJfMjLAmec39IyEx_6qawtMGysU/edit?usp=sharing"",""สบก!DD47"")"),0)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537">
        <f ca="1">IFERROR(__xludf.DUMMYFUNCTION("IMPORTRANGE(""https://docs.google.com/spreadsheets/d/1Yj_ptqi66GCucihVvJfMjLAmec39IyEx_6qawtMGysU/edit?usp=sharing"",""สบก!CY47"")"),0)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537">
        <f ca="1">IFERROR(__xludf.DUMMYFUNCTION("IMPORTRANGE(""https://docs.google.com/spreadsheets/d/1Yj_ptqi66GCucihVvJfMjLAmec39IyEx_6qawtMGysU/edit?usp=sharing"",""สบก!CZ47"")"),0)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52" t="s">
        <v>23</v>
      </c>
      <c r="E317" s="553"/>
      <c r="F317" s="89"/>
      <c r="G317" s="82" t="s">
        <v>18</v>
      </c>
      <c r="H317" s="172" t="s">
        <v>12</v>
      </c>
      <c r="I317" s="162"/>
      <c r="J317" s="188"/>
      <c r="K317" s="224"/>
      <c r="L317" s="535">
        <v>0</v>
      </c>
      <c r="M317" s="535"/>
      <c r="N317" s="41"/>
      <c r="O317" s="535"/>
      <c r="P317" s="535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533">
        <f ca="1">IFERROR(__xludf.DUMMYFUNCTION("IMPORTRANGE(""https://docs.google.com/spreadsheets/d/1Yj_ptqi66GCucihVvJfMjLAmec39IyEx_6qawtMGysU/edit?usp=sharing"",""สบก!DA47"")"),0)</f>
        <v>0</v>
      </c>
      <c r="M318" s="536"/>
      <c r="N318" s="533">
        <f ca="1">IFERROR(__xludf.DUMMYFUNCTION("IMPORTRANGE(""https://docs.google.com/spreadsheets/d/1Yj_ptqi66GCucihVvJfMjLAmec39IyEx_6qawtMGysU/edit?usp=sharing"",""สบก!DE47"")"),0)</f>
        <v>0</v>
      </c>
      <c r="O318" s="536">
        <f ca="1">IF(L318&gt;0,N318*100/L318,0)</f>
        <v>0</v>
      </c>
      <c r="P318" s="536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IFERROR(__xludf.DUMMYFUNCTION("IMPORTRANGE(""https://docs.google.com/spreadsheets/d/1XL5vhW3sbDhbH9Cz0tuDiY8C3ctxq1tqvaCgkFb8cCA/edit?usp=sharing"",""ยโสธร!J220"")"),0)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IFERROR(__xludf.DUMMYFUNCTION("IMPORTRANGE(""https://docs.google.com/spreadsheets/d/1XL5vhW3sbDhbH9Cz0tuDiY8C3ctxq1tqvaCgkFb8cCA/edit?usp=sharing"",""ยโสธร!J221"")"),0)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IFERROR(__xludf.DUMMYFUNCTION("IMPORTRANGE(""https://docs.google.com/spreadsheets/d/1XL5vhW3sbDhbH9Cz0tuDiY8C3ctxq1tqvaCgkFb8cCA/edit?usp=sharing"",""ยโสธร!J222"")"),0)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IFERROR(__xludf.DUMMYFUNCTION("IMPORTRANGE(""https://docs.google.com/spreadsheets/d/1XL5vhW3sbDhbH9Cz0tuDiY8C3ctxq1tqvaCgkFb8cCA/edit?usp=sharing"",""ยโสธร!J223"")"),0)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IFERROR(__xludf.DUMMYFUNCTION("IMPORTRANGE(""https://docs.google.com/spreadsheets/d/1XL5vhW3sbDhbH9Cz0tuDiY8C3ctxq1tqvaCgkFb8cCA/edit?usp=sharing"",""ยโสธร!I224"")"),0)</f>
        <v>0</v>
      </c>
      <c r="J324" s="204">
        <f ca="1">IFERROR(__xludf.DUMMYFUNCTION("IMPORTRANGE(""https://docs.google.com/spreadsheets/d/1XL5vhW3sbDhbH9Cz0tuDiY8C3ctxq1tqvaCgkFb8cCA/edit?usp=sharing"",""ยโสธร!J224"")"),0)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IFERROR(__xludf.DUMMYFUNCTION("IMPORTRANGE(""https://docs.google.com/spreadsheets/d/1XL5vhW3sbDhbH9Cz0tuDiY8C3ctxq1tqvaCgkFb8cCA/edit?usp=sharing"",""ยโสธร!J225"")"),0)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IFERROR(__xludf.DUMMYFUNCTION("IMPORTRANGE(""https://docs.google.com/spreadsheets/d/1XL5vhW3sbDhbH9Cz0tuDiY8C3ctxq1tqvaCgkFb8cCA/edit?usp=sharing"",""ยโสธร!J226"")"),0)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IFERROR(__xludf.DUMMYFUNCTION("IMPORTRANGE(""https://docs.google.com/spreadsheets/d/1XL5vhW3sbDhbH9Cz0tuDiY8C3ctxq1tqvaCgkFb8cCA/edit?usp=sharing"",""ยโสธร!I228"")"),280)</f>
        <v>280</v>
      </c>
      <c r="J328" s="339">
        <f ca="1">IFERROR(__xludf.DUMMYFUNCTION("IMPORTRANGE(""https://docs.google.com/spreadsheets/d/1XL5vhW3sbDhbH9Cz0tuDiY8C3ctxq1tqvaCgkFb8cCA/edit?usp=sharing"",""ยโสธร!J228"")"),455)</f>
        <v>455</v>
      </c>
      <c r="K328" s="317">
        <f ca="1">IF(I328&gt;0,J328*100/I328,0)</f>
        <v>162.5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54" t="s">
        <v>17</v>
      </c>
      <c r="E329" s="555"/>
      <c r="F329" s="555"/>
      <c r="G329" s="555"/>
      <c r="H329" s="149" t="s">
        <v>12</v>
      </c>
      <c r="I329" s="162"/>
      <c r="J329" s="162"/>
      <c r="K329" s="163"/>
      <c r="L329" s="152">
        <f t="shared" ref="L329:N329" ca="1" si="98">L330+L331</f>
        <v>835370</v>
      </c>
      <c r="M329" s="152">
        <f t="shared" ca="1" si="98"/>
        <v>631690</v>
      </c>
      <c r="N329" s="152">
        <f t="shared" ca="1" si="98"/>
        <v>517440</v>
      </c>
      <c r="O329" s="151">
        <f t="shared" ref="O329:O331" ca="1" si="99">IF(L329&gt;0,N329*100/L329,0)</f>
        <v>61.941415181296911</v>
      </c>
      <c r="P329" s="151">
        <f t="shared" ref="P329:P331" ca="1" si="100">IF(M329&gt;0,N329*100/M329,0)</f>
        <v>81.913596859218927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835370</v>
      </c>
      <c r="M331" s="157">
        <f t="shared" ca="1" si="102"/>
        <v>631690</v>
      </c>
      <c r="N331" s="157">
        <f t="shared" ca="1" si="102"/>
        <v>517440</v>
      </c>
      <c r="O331" s="156">
        <f t="shared" ca="1" si="99"/>
        <v>61.941415181296911</v>
      </c>
      <c r="P331" s="156">
        <f t="shared" ca="1" si="100"/>
        <v>81.913596859218927</v>
      </c>
    </row>
    <row r="332" spans="1:16" ht="21.75" customHeight="1" x14ac:dyDescent="0.45">
      <c r="A332" s="158"/>
      <c r="B332" s="159"/>
      <c r="C332" s="159" t="s">
        <v>16</v>
      </c>
      <c r="D332" s="552" t="s">
        <v>20</v>
      </c>
      <c r="E332" s="553"/>
      <c r="F332" s="55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688370</v>
      </c>
      <c r="M333" s="537">
        <f ca="1">IFERROR(__xludf.DUMMYFUNCTION("IMPORTRANGE(""https://docs.google.com/spreadsheets/d/1Yj_ptqi66GCucihVvJfMjLAmec39IyEx_6qawtMGysU/edit?usp=sharing"",""สบก!DL47"")"),484690)</f>
        <v>484690</v>
      </c>
      <c r="N333" s="538">
        <f ca="1">IFERROR(__xludf.DUMMYFUNCTION("IMPORTRANGE(""https://docs.google.com/spreadsheets/d/1Yj_ptqi66GCucihVvJfMjLAmec39IyEx_6qawtMGysU/edit?usp=sharing"",""สบก!DM47"")"),370440)</f>
        <v>370440</v>
      </c>
      <c r="O333" s="169">
        <f ca="1">IF(L333&gt;0,N333*100/L333,0)</f>
        <v>53.814082542818539</v>
      </c>
      <c r="P333" s="169">
        <f ca="1">IF(M333&gt;0,N333*100/M333,0)</f>
        <v>76.42823247849141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537">
        <f ca="1">IFERROR(__xludf.DUMMYFUNCTION("IMPORTRANGE(""https://docs.google.com/spreadsheets/d/1Yj_ptqi66GCucihVvJfMjLAmec39IyEx_6qawtMGysU/edit?usp=sharing"",""สบก!DH47"")"),277200)</f>
        <v>277200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537">
        <f ca="1">IFERROR(__xludf.DUMMYFUNCTION("IMPORTRANGE(""https://docs.google.com/spreadsheets/d/1Yj_ptqi66GCucihVvJfMjLAmec39IyEx_6qawtMGysU/edit?usp=sharing"",""สบก!DI47"")"),411170)</f>
        <v>411170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52" t="s">
        <v>23</v>
      </c>
      <c r="E336" s="553"/>
      <c r="F336" s="89"/>
      <c r="G336" s="82" t="s">
        <v>18</v>
      </c>
      <c r="H336" s="172" t="s">
        <v>12</v>
      </c>
      <c r="I336" s="162"/>
      <c r="J336" s="162"/>
      <c r="K336" s="163"/>
      <c r="L336" s="535">
        <v>0</v>
      </c>
      <c r="M336" s="535"/>
      <c r="N336" s="41"/>
      <c r="O336" s="535"/>
      <c r="P336" s="535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533">
        <f ca="1">IFERROR(__xludf.DUMMYFUNCTION("IMPORTRANGE(""https://docs.google.com/spreadsheets/d/1Yj_ptqi66GCucihVvJfMjLAmec39IyEx_6qawtMGysU/edit?usp=sharing"",""สบก!DJ47"")"),147000)</f>
        <v>147000</v>
      </c>
      <c r="M337" s="536">
        <f ca="1">L337</f>
        <v>147000</v>
      </c>
      <c r="N337" s="533">
        <f ca="1">IFERROR(__xludf.DUMMYFUNCTION("IMPORTRANGE(""https://docs.google.com/spreadsheets/d/1Yj_ptqi66GCucihVvJfMjLAmec39IyEx_6qawtMGysU/edit?usp=sharing"",""สบก!DN47"")"),147000)</f>
        <v>147000</v>
      </c>
      <c r="O337" s="536">
        <f ca="1">IF(L337&gt;0,N337*100/L337,0)</f>
        <v>100</v>
      </c>
      <c r="P337" s="536">
        <f ca="1">IF(M337&gt;0,N337*100/M337,0)</f>
        <v>100</v>
      </c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IFERROR(__xludf.DUMMYFUNCTION("IMPORTRANGE(""https://docs.google.com/spreadsheets/d/1XL5vhW3sbDhbH9Cz0tuDiY8C3ctxq1tqvaCgkFb8cCA/edit?usp=sharing"",""ยโสธร!I234"")"),0)</f>
        <v>0</v>
      </c>
      <c r="J339" s="188">
        <f ca="1">IFERROR(__xludf.DUMMYFUNCTION("IMPORTRANGE(""https://docs.google.com/spreadsheets/d/1XL5vhW3sbDhbH9Cz0tuDiY8C3ctxq1tqvaCgkFb8cCA/edit?usp=sharing"",""ยโสธร!J234"")"),208)</f>
        <v>208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IFERROR(__xludf.DUMMYFUNCTION("IMPORTRANGE(""https://docs.google.com/spreadsheets/d/1XL5vhW3sbDhbH9Cz0tuDiY8C3ctxq1tqvaCgkFb8cCA/edit?usp=sharing"",""ยโสธร!I235"")"),1900)</f>
        <v>1900</v>
      </c>
      <c r="J340" s="188">
        <f ca="1">IFERROR(__xludf.DUMMYFUNCTION("IMPORTRANGE(""https://docs.google.com/spreadsheets/d/1XL5vhW3sbDhbH9Cz0tuDiY8C3ctxq1tqvaCgkFb8cCA/edit?usp=sharing"",""ยโสธร!J235"")"),1533.48)</f>
        <v>1533.48</v>
      </c>
      <c r="K340" s="342">
        <f t="shared" ca="1" si="103"/>
        <v>80.709473684210522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IFERROR(__xludf.DUMMYFUNCTION("IMPORTRANGE(""https://docs.google.com/spreadsheets/d/1XL5vhW3sbDhbH9Cz0tuDiY8C3ctxq1tqvaCgkFb8cCA/edit?usp=sharing"",""ยโสธร!I236"")"),280)</f>
        <v>280</v>
      </c>
      <c r="J341" s="188">
        <f ca="1">IFERROR(__xludf.DUMMYFUNCTION("IMPORTRANGE(""https://docs.google.com/spreadsheets/d/1XL5vhW3sbDhbH9Cz0tuDiY8C3ctxq1tqvaCgkFb8cCA/edit?usp=sharing"",""ยโสธร!J236"")"),510)</f>
        <v>510</v>
      </c>
      <c r="K341" s="342">
        <f t="shared" ca="1" si="103"/>
        <v>182.14285714285714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IFERROR(__xludf.DUMMYFUNCTION("IMPORTRANGE(""https://docs.google.com/spreadsheets/d/1XL5vhW3sbDhbH9Cz0tuDiY8C3ctxq1tqvaCgkFb8cCA/edit?usp=sharing"",""ยโสธร!I237"")"),0)</f>
        <v>0</v>
      </c>
      <c r="J342" s="188">
        <f ca="1">IFERROR(__xludf.DUMMYFUNCTION("IMPORTRANGE(""https://docs.google.com/spreadsheets/d/1XL5vhW3sbDhbH9Cz0tuDiY8C3ctxq1tqvaCgkFb8cCA/edit?usp=sharing"",""ยโสธร!J237"")"),4878.04)</f>
        <v>4878.04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IFERROR(__xludf.DUMMYFUNCTION("IMPORTRANGE(""https://docs.google.com/spreadsheets/d/1XL5vhW3sbDhbH9Cz0tuDiY8C3ctxq1tqvaCgkFb8cCA/edit?usp=sharing"",""ยโสธร!I238"")"),280)</f>
        <v>280</v>
      </c>
      <c r="J343" s="188">
        <f ca="1">IFERROR(__xludf.DUMMYFUNCTION("IMPORTRANGE(""https://docs.google.com/spreadsheets/d/1XL5vhW3sbDhbH9Cz0tuDiY8C3ctxq1tqvaCgkFb8cCA/edit?usp=sharing"",""ยโสธร!J238"")"),4)</f>
        <v>4</v>
      </c>
      <c r="K343" s="342">
        <f t="shared" ca="1" si="103"/>
        <v>1.4285714285714286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IFERROR(__xludf.DUMMYFUNCTION("IMPORTRANGE(""https://docs.google.com/spreadsheets/d/1XL5vhW3sbDhbH9Cz0tuDiY8C3ctxq1tqvaCgkFb8cCA/edit?usp=sharing"",""ยโสธร!I239"")"),0)</f>
        <v>0</v>
      </c>
      <c r="J344" s="188">
        <f ca="1">IFERROR(__xludf.DUMMYFUNCTION("IMPORTRANGE(""https://docs.google.com/spreadsheets/d/1XL5vhW3sbDhbH9Cz0tuDiY8C3ctxq1tqvaCgkFb8cCA/edit?usp=sharing"",""ยโสธร!J239"")"),17.67)</f>
        <v>17.670000000000002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IFERROR(__xludf.DUMMYFUNCTION("IMPORTRANGE(""https://docs.google.com/spreadsheets/d/1XL5vhW3sbDhbH9Cz0tuDiY8C3ctxq1tqvaCgkFb8cCA/edit?usp=sharing"",""ยโสธร!I240"")"),280)</f>
        <v>280</v>
      </c>
      <c r="J345" s="188">
        <f ca="1">IFERROR(__xludf.DUMMYFUNCTION("IMPORTRANGE(""https://docs.google.com/spreadsheets/d/1XL5vhW3sbDhbH9Cz0tuDiY8C3ctxq1tqvaCgkFb8cCA/edit?usp=sharing"",""ยโสธร!J240"")"),455)</f>
        <v>455</v>
      </c>
      <c r="K345" s="342">
        <f t="shared" ca="1" si="103"/>
        <v>162.5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IFERROR(__xludf.DUMMYFUNCTION("IMPORTRANGE(""https://docs.google.com/spreadsheets/d/1XL5vhW3sbDhbH9Cz0tuDiY8C3ctxq1tqvaCgkFb8cCA/edit?usp=sharing"",""ยโสธร!I241"")"),0)</f>
        <v>0</v>
      </c>
      <c r="J346" s="188">
        <f ca="1">IFERROR(__xludf.DUMMYFUNCTION("IMPORTRANGE(""https://docs.google.com/spreadsheets/d/1XL5vhW3sbDhbH9Cz0tuDiY8C3ctxq1tqvaCgkFb8cCA/edit?usp=sharing"",""ยโสธร!J241"")"),4417.33)</f>
        <v>4417.33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IFERROR(__xludf.DUMMYFUNCTION("IMPORTRANGE(""https://docs.google.com/spreadsheets/d/1XL5vhW3sbDhbH9Cz0tuDiY8C3ctxq1tqvaCgkFb8cCA/edit?usp=sharing"",""ยโสธร!L242"")"),2375673)</f>
        <v>2375673</v>
      </c>
      <c r="M347" s="358"/>
      <c r="N347" s="358">
        <f ca="1">IFERROR(__xludf.DUMMYFUNCTION("IMPORTRANGE(""https://docs.google.com/spreadsheets/d/1XL5vhW3sbDhbH9Cz0tuDiY8C3ctxq1tqvaCgkFb8cCA/edit?usp=sharing"",""ยโสธร!M242"")"),534065)</f>
        <v>534065</v>
      </c>
      <c r="O347" s="358">
        <f ca="1">+IF(L347&gt;0,N347*100/L347,0)</f>
        <v>22.480577082788752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IFERROR(__xludf.DUMMYFUNCTION("IMPORTRANGE(""https://docs.google.com/spreadsheets/d/1XL5vhW3sbDhbH9Cz0tuDiY8C3ctxq1tqvaCgkFb8cCA/edit?usp=sharing"",""ยโสธร!I244"")"),360)</f>
        <v>360</v>
      </c>
      <c r="J349" s="371">
        <f ca="1">IFERROR(__xludf.DUMMYFUNCTION("IMPORTRANGE(""https://docs.google.com/spreadsheets/d/1XL5vhW3sbDhbH9Cz0tuDiY8C3ctxq1tqvaCgkFb8cCA/edit?usp=sharing"",""ยโสธร!J244"")"),0)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IFERROR(__xludf.DUMMYFUNCTION("IMPORTRANGE(""https://docs.google.com/spreadsheets/d/1XL5vhW3sbDhbH9Cz0tuDiY8C3ctxq1tqvaCgkFb8cCA/edit?usp=sharing"",""ยโสธร!L244"")"),667900)</f>
        <v>667900</v>
      </c>
      <c r="M349" s="373"/>
      <c r="N349" s="373">
        <f ca="1">IFERROR(__xludf.DUMMYFUNCTION("IMPORTRANGE(""https://docs.google.com/spreadsheets/d/1XL5vhW3sbDhbH9Cz0tuDiY8C3ctxq1tqvaCgkFb8cCA/edit?usp=sharing"",""ยโสธร!M244"")"),111160)</f>
        <v>111160</v>
      </c>
      <c r="O349" s="373">
        <f ca="1">+IF(L349&gt;0,N349*100/L349,0)</f>
        <v>16.643210061386434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IFERROR(__xludf.DUMMYFUNCTION("IMPORTRANGE(""https://docs.google.com/spreadsheets/d/1XL5vhW3sbDhbH9Cz0tuDiY8C3ctxq1tqvaCgkFb8cCA/edit?usp=sharing"",""ยโสธร!I245"")"),130)</f>
        <v>130</v>
      </c>
      <c r="J350" s="371">
        <f ca="1">IFERROR(__xludf.DUMMYFUNCTION("IMPORTRANGE(""https://docs.google.com/spreadsheets/d/1XL5vhW3sbDhbH9Cz0tuDiY8C3ctxq1tqvaCgkFb8cCA/edit?usp=sharing"",""ยโสธร!J245"")"),130)</f>
        <v>130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IFERROR(__xludf.DUMMYFUNCTION("IMPORTRANGE(""https://docs.google.com/spreadsheets/d/1XL5vhW3sbDhbH9Cz0tuDiY8C3ctxq1tqvaCgkFb8cCA/edit?usp=sharing"",""ยโสธร!L246"")"),0)</f>
        <v>0</v>
      </c>
      <c r="M351" s="164"/>
      <c r="N351" s="164">
        <f ca="1">IFERROR(__xludf.DUMMYFUNCTION("IMPORTRANGE(""https://docs.google.com/spreadsheets/d/1XL5vhW3sbDhbH9Cz0tuDiY8C3ctxq1tqvaCgkFb8cCA/edit?usp=sharing"",""ยโสธร!M246"")"),0)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IFERROR(__xludf.DUMMYFUNCTION("IMPORTRANGE(""https://docs.google.com/spreadsheets/d/1XL5vhW3sbDhbH9Cz0tuDiY8C3ctxq1tqvaCgkFb8cCA/edit?usp=sharing"",""ยโสธร!L247"")"),667900)</f>
        <v>667900</v>
      </c>
      <c r="M352" s="165"/>
      <c r="N352" s="164">
        <f ca="1">IFERROR(__xludf.DUMMYFUNCTION("IMPORTRANGE(""https://docs.google.com/spreadsheets/d/1XL5vhW3sbDhbH9Cz0tuDiY8C3ctxq1tqvaCgkFb8cCA/edit?usp=sharing"",""ยโสธร!M247"")"),111160)</f>
        <v>111160</v>
      </c>
      <c r="O352" s="165">
        <f t="shared" ca="1" si="105"/>
        <v>16.643210061386434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IFERROR(__xludf.DUMMYFUNCTION("IMPORTRANGE(""https://docs.google.com/spreadsheets/d/1XL5vhW3sbDhbH9Cz0tuDiY8C3ctxq1tqvaCgkFb8cCA/edit?usp=sharing"",""ยโสธร!L248"")"),0)</f>
        <v>0</v>
      </c>
      <c r="M353" s="169"/>
      <c r="N353" s="169">
        <f ca="1">IFERROR(__xludf.DUMMYFUNCTION("IMPORTRANGE(""https://docs.google.com/spreadsheets/d/1XL5vhW3sbDhbH9Cz0tuDiY8C3ctxq1tqvaCgkFb8cCA/edit?usp=sharing"",""ยโสธร!M248"")"),0)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IFERROR(__xludf.DUMMYFUNCTION("IMPORTRANGE(""https://docs.google.com/spreadsheets/d/1XL5vhW3sbDhbH9Cz0tuDiY8C3ctxq1tqvaCgkFb8cCA/edit?usp=sharing"",""ยโสธร!L249"")"),667900)</f>
        <v>667900</v>
      </c>
      <c r="M354" s="169"/>
      <c r="N354" s="168">
        <f ca="1">IFERROR(__xludf.DUMMYFUNCTION("IMPORTRANGE(""https://docs.google.com/spreadsheets/d/1XL5vhW3sbDhbH9Cz0tuDiY8C3ctxq1tqvaCgkFb8cCA/edit?usp=sharing"",""ยโสธร!M249"")"),111160)</f>
        <v>111160</v>
      </c>
      <c r="O354" s="169">
        <f t="shared" ca="1" si="105"/>
        <v>16.643210061386434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IFERROR(__xludf.DUMMYFUNCTION("IMPORTRANGE(""https://docs.google.com/spreadsheets/d/1XL5vhW3sbDhbH9Cz0tuDiY8C3ctxq1tqvaCgkFb8cCA/edit?usp=sharing"",""ยโสธร!M250"")"),49600)</f>
        <v>49600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IFERROR(__xludf.DUMMYFUNCTION("IMPORTRANGE(""https://docs.google.com/spreadsheets/d/1XL5vhW3sbDhbH9Cz0tuDiY8C3ctxq1tqvaCgkFb8cCA/edit?usp=sharing"",""ยโสธร!M251"")"),0)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IFERROR(__xludf.DUMMYFUNCTION("IMPORTRANGE(""https://docs.google.com/spreadsheets/d/1XL5vhW3sbDhbH9Cz0tuDiY8C3ctxq1tqvaCgkFb8cCA/edit?usp=sharing"",""ยโสธร!M252"")"),33000)</f>
        <v>33000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IFERROR(__xludf.DUMMYFUNCTION("IMPORTRANGE(""https://docs.google.com/spreadsheets/d/1XL5vhW3sbDhbH9Cz0tuDiY8C3ctxq1tqvaCgkFb8cCA/edit?usp=sharing"",""ยโสธร!M253"")"),28560)</f>
        <v>28560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IFERROR(__xludf.DUMMYFUNCTION("IMPORTRANGE(""https://docs.google.com/spreadsheets/d/1XL5vhW3sbDhbH9Cz0tuDiY8C3ctxq1tqvaCgkFb8cCA/edit?usp=sharing"",""ยโสธร!J255"")"),0)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IFERROR(__xludf.DUMMYFUNCTION("IMPORTRANGE(""https://docs.google.com/spreadsheets/d/1XL5vhW3sbDhbH9Cz0tuDiY8C3ctxq1tqvaCgkFb8cCA/edit?usp=sharing"",""ยโสธร!J256"")"),1)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IFERROR(__xludf.DUMMYFUNCTION("IMPORTRANGE(""https://docs.google.com/spreadsheets/d/1XL5vhW3sbDhbH9Cz0tuDiY8C3ctxq1tqvaCgkFb8cCA/edit?usp=sharing"",""ยโสธร!J257"")"),1)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IFERROR(__xludf.DUMMYFUNCTION("IMPORTRANGE(""https://docs.google.com/spreadsheets/d/1XL5vhW3sbDhbH9Cz0tuDiY8C3ctxq1tqvaCgkFb8cCA/edit?usp=sharing"",""ยโสธร!J258"")"),1)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IFERROR(__xludf.DUMMYFUNCTION("IMPORTRANGE(""https://docs.google.com/spreadsheets/d/1XL5vhW3sbDhbH9Cz0tuDiY8C3ctxq1tqvaCgkFb8cCA/edit?usp=sharing"",""ยโสธร!J166"")"),0)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IFERROR(__xludf.DUMMYFUNCTION("IMPORTRANGE(""https://docs.google.com/spreadsheets/d/1XL5vhW3sbDhbH9Cz0tuDiY8C3ctxq1tqvaCgkFb8cCA/edit?usp=sharing"",""ยโสธร!J166"")"),0)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IFERROR(__xludf.DUMMYFUNCTION("IMPORTRANGE(""https://docs.google.com/spreadsheets/d/1XL5vhW3sbDhbH9Cz0tuDiY8C3ctxq1tqvaCgkFb8cCA/edit?usp=sharing"",""ยโสธร!J166"")"),0)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IFERROR(__xludf.DUMMYFUNCTION("IMPORTRANGE(""https://docs.google.com/spreadsheets/d/1XL5vhW3sbDhbH9Cz0tuDiY8C3ctxq1tqvaCgkFb8cCA/edit?usp=sharing"",""ยโสธร!J166"")"),0)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IFERROR(__xludf.DUMMYFUNCTION("IMPORTRANGE(""https://docs.google.com/spreadsheets/d/1XL5vhW3sbDhbH9Cz0tuDiY8C3ctxq1tqvaCgkFb8cCA/edit?usp=sharing"",""ยโสธร!I263"")"),130)</f>
        <v>130</v>
      </c>
      <c r="J368" s="188">
        <f ca="1">IFERROR(__xludf.DUMMYFUNCTION("IMPORTRANGE(""https://docs.google.com/spreadsheets/d/1XL5vhW3sbDhbH9Cz0tuDiY8C3ctxq1tqvaCgkFb8cCA/edit?usp=sharing"",""ยโสธร!J263"")"),130)</f>
        <v>130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IFERROR(__xludf.DUMMYFUNCTION("IMPORTRANGE(""https://docs.google.com/spreadsheets/d/1XL5vhW3sbDhbH9Cz0tuDiY8C3ctxq1tqvaCgkFb8cCA/edit?usp=sharing"",""ยโสธร!I164"")"),0)</f>
        <v>0</v>
      </c>
      <c r="J369" s="204">
        <f ca="1">IFERROR(__xludf.DUMMYFUNCTION("IMPORTRANGE(""https://docs.google.com/spreadsheets/d/1XL5vhW3sbDhbH9Cz0tuDiY8C3ctxq1tqvaCgkFb8cCA/edit?usp=sharing"",""ยโสธร!J164"")"),0)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293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IFERROR(__xludf.DUMMYFUNCTION("IMPORTRANGE(""https://docs.google.com/spreadsheets/d/1XL5vhW3sbDhbH9Cz0tuDiY8C3ctxq1tqvaCgkFb8cCA/edit?usp=sharing"",""ยโสธร!I265"")"),130)</f>
        <v>130</v>
      </c>
      <c r="J370" s="204">
        <f ca="1">IFERROR(__xludf.DUMMYFUNCTION("IMPORTRANGE(""https://docs.google.com/spreadsheets/d/1XL5vhW3sbDhbH9Cz0tuDiY8C3ctxq1tqvaCgkFb8cCA/edit?usp=sharing"",""ยโสธร!J265"")"),130)</f>
        <v>130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IFERROR(__xludf.DUMMYFUNCTION("IMPORTRANGE(""https://docs.google.com/spreadsheets/d/1XL5vhW3sbDhbH9Cz0tuDiY8C3ctxq1tqvaCgkFb8cCA/edit?usp=sharing"",""ยโสธร!I164"")"),0)</f>
        <v>0</v>
      </c>
      <c r="J371" s="189">
        <f ca="1">IFERROR(__xludf.DUMMYFUNCTION("IMPORTRANGE(""https://docs.google.com/spreadsheets/d/1XL5vhW3sbDhbH9Cz0tuDiY8C3ctxq1tqvaCgkFb8cCA/edit?usp=sharing"",""ยโสธร!J164"")"),0)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293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IFERROR(__xludf.DUMMYFUNCTION("IMPORTRANGE(""https://docs.google.com/spreadsheets/d/1XL5vhW3sbDhbH9Cz0tuDiY8C3ctxq1tqvaCgkFb8cCA/edit?usp=sharing"",""ยโสธร!I267"")"),130)</f>
        <v>130</v>
      </c>
      <c r="J372" s="189">
        <f ca="1">IFERROR(__xludf.DUMMYFUNCTION("IMPORTRANGE(""https://docs.google.com/spreadsheets/d/1XL5vhW3sbDhbH9Cz0tuDiY8C3ctxq1tqvaCgkFb8cCA/edit?usp=sharing"",""ยโสธร!J267"")"),0)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IFERROR(__xludf.DUMMYFUNCTION("IMPORTRANGE(""https://docs.google.com/spreadsheets/d/1XL5vhW3sbDhbH9Cz0tuDiY8C3ctxq1tqvaCgkFb8cCA/edit?usp=sharing"",""ยโสธร!I164"")"),0)</f>
        <v>0</v>
      </c>
      <c r="J373" s="204">
        <f ca="1">IFERROR(__xludf.DUMMYFUNCTION("IMPORTRANGE(""https://docs.google.com/spreadsheets/d/1XL5vhW3sbDhbH9Cz0tuDiY8C3ctxq1tqvaCgkFb8cCA/edit?usp=sharing"",""ยโสธร!J164"")"),0)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IFERROR(__xludf.DUMMYFUNCTION("IMPORTRANGE(""https://docs.google.com/spreadsheets/d/1XL5vhW3sbDhbH9Cz0tuDiY8C3ctxq1tqvaCgkFb8cCA/edit?usp=sharing"",""ยโสธร!I164"")"),0)</f>
        <v>0</v>
      </c>
      <c r="J374" s="188">
        <f ca="1">IFERROR(__xludf.DUMMYFUNCTION("IMPORTRANGE(""https://docs.google.com/spreadsheets/d/1XL5vhW3sbDhbH9Cz0tuDiY8C3ctxq1tqvaCgkFb8cCA/edit?usp=sharing"",""ยโสธร!J164"")"),0)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IFERROR(__xludf.DUMMYFUNCTION("IMPORTRANGE(""https://docs.google.com/spreadsheets/d/1XL5vhW3sbDhbH9Cz0tuDiY8C3ctxq1tqvaCgkFb8cCA/edit?usp=sharing"",""ยโสธร!I270"")"),360)</f>
        <v>360</v>
      </c>
      <c r="J375" s="188">
        <f ca="1">IFERROR(__xludf.DUMMYFUNCTION("IMPORTRANGE(""https://docs.google.com/spreadsheets/d/1XL5vhW3sbDhbH9Cz0tuDiY8C3ctxq1tqvaCgkFb8cCA/edit?usp=sharing"",""ยโสธร!J270"")"),0)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IFERROR(__xludf.DUMMYFUNCTION("IMPORTRANGE(""https://docs.google.com/spreadsheets/d/1XL5vhW3sbDhbH9Cz0tuDiY8C3ctxq1tqvaCgkFb8cCA/edit?usp=sharing"",""ยโสธร!I271"")"),100)</f>
        <v>100</v>
      </c>
      <c r="J376" s="189">
        <f ca="1">IFERROR(__xludf.DUMMYFUNCTION("IMPORTRANGE(""https://docs.google.com/spreadsheets/d/1XL5vhW3sbDhbH9Cz0tuDiY8C3ctxq1tqvaCgkFb8cCA/edit?usp=sharing"",""ยโสธร!J271"")"),0)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IFERROR(__xludf.DUMMYFUNCTION("IMPORTRANGE(""https://docs.google.com/spreadsheets/d/1XL5vhW3sbDhbH9Cz0tuDiY8C3ctxq1tqvaCgkFb8cCA/edit?usp=sharing"",""ยโสธร!I272"")"),260)</f>
        <v>260</v>
      </c>
      <c r="J377" s="204">
        <f ca="1">IFERROR(__xludf.DUMMYFUNCTION("IMPORTRANGE(""https://docs.google.com/spreadsheets/d/1XL5vhW3sbDhbH9Cz0tuDiY8C3ctxq1tqvaCgkFb8cCA/edit?usp=sharing"",""ยโสธร!J272"")"),0)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IFERROR(__xludf.DUMMYFUNCTION("IMPORTRANGE(""https://docs.google.com/spreadsheets/d/1XL5vhW3sbDhbH9Cz0tuDiY8C3ctxq1tqvaCgkFb8cCA/edit?usp=sharing"",""ยโสธร!J273"")"),0)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IFERROR(__xludf.DUMMYFUNCTION("IMPORTRANGE(""https://docs.google.com/spreadsheets/d/1XL5vhW3sbDhbH9Cz0tuDiY8C3ctxq1tqvaCgkFb8cCA/edit?usp=sharing"",""ยโสธร!J274"")"),0)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IFERROR(__xludf.DUMMYFUNCTION("IMPORTRANGE(""https://docs.google.com/spreadsheets/d/1XL5vhW3sbDhbH9Cz0tuDiY8C3ctxq1tqvaCgkFb8cCA/edit?usp=sharing"",""ยโสธร!I275"")"),500)</f>
        <v>500</v>
      </c>
      <c r="J380" s="371">
        <f ca="1">IFERROR(__xludf.DUMMYFUNCTION("IMPORTRANGE(""https://docs.google.com/spreadsheets/d/1XL5vhW3sbDhbH9Cz0tuDiY8C3ctxq1tqvaCgkFb8cCA/edit?usp=sharing"",""ยโสธร!J275"")"),0)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IFERROR(__xludf.DUMMYFUNCTION("IMPORTRANGE(""https://docs.google.com/spreadsheets/d/1XL5vhW3sbDhbH9Cz0tuDiY8C3ctxq1tqvaCgkFb8cCA/edit?usp=sharing"",""ยโสธร!L275"")"),460140)</f>
        <v>460140</v>
      </c>
      <c r="M380" s="373"/>
      <c r="N380" s="373">
        <f ca="1">IFERROR(__xludf.DUMMYFUNCTION("IMPORTRANGE(""https://docs.google.com/spreadsheets/d/1XL5vhW3sbDhbH9Cz0tuDiY8C3ctxq1tqvaCgkFb8cCA/edit?usp=sharing"",""ยโสธร!M275"")"),31820)</f>
        <v>31820</v>
      </c>
      <c r="O380" s="373">
        <f ca="1">+IF(L380&gt;0,N380*100/L380,0)</f>
        <v>6.9152866518885556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IFERROR(__xludf.DUMMYFUNCTION("IMPORTRANGE(""https://docs.google.com/spreadsheets/d/1XL5vhW3sbDhbH9Cz0tuDiY8C3ctxq1tqvaCgkFb8cCA/edit?usp=sharing"",""ยโสธร!I276"")"),50)</f>
        <v>50</v>
      </c>
      <c r="J381" s="371">
        <f ca="1">IFERROR(__xludf.DUMMYFUNCTION("IMPORTRANGE(""https://docs.google.com/spreadsheets/d/1XL5vhW3sbDhbH9Cz0tuDiY8C3ctxq1tqvaCgkFb8cCA/edit?usp=sharing"",""ยโสธร!J276"")"),50)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IFERROR(__xludf.DUMMYFUNCTION("IMPORTRANGE(""https://docs.google.com/spreadsheets/d/1XL5vhW3sbDhbH9Cz0tuDiY8C3ctxq1tqvaCgkFb8cCA/edit?usp=sharing"",""ยโสธร!L277"")"),0)</f>
        <v>0</v>
      </c>
      <c r="M382" s="164"/>
      <c r="N382" s="164">
        <f ca="1">IFERROR(__xludf.DUMMYFUNCTION("IMPORTRANGE(""https://docs.google.com/spreadsheets/d/1XL5vhW3sbDhbH9Cz0tuDiY8C3ctxq1tqvaCgkFb8cCA/edit?usp=sharing"",""ยโสธร!M277"")"),0)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IFERROR(__xludf.DUMMYFUNCTION("IMPORTRANGE(""https://docs.google.com/spreadsheets/d/1XL5vhW3sbDhbH9Cz0tuDiY8C3ctxq1tqvaCgkFb8cCA/edit?usp=sharing"",""ยโสธร!L278"")"),460140)</f>
        <v>460140</v>
      </c>
      <c r="M383" s="165"/>
      <c r="N383" s="165">
        <f ca="1">IFERROR(__xludf.DUMMYFUNCTION("IMPORTRANGE(""https://docs.google.com/spreadsheets/d/1XL5vhW3sbDhbH9Cz0tuDiY8C3ctxq1tqvaCgkFb8cCA/edit?usp=sharing"",""ยโสธร!M278"")"),31820)</f>
        <v>31820</v>
      </c>
      <c r="O383" s="165">
        <f t="shared" ca="1" si="109"/>
        <v>6.9152866518885556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IFERROR(__xludf.DUMMYFUNCTION("IMPORTRANGE(""https://docs.google.com/spreadsheets/d/1XL5vhW3sbDhbH9Cz0tuDiY8C3ctxq1tqvaCgkFb8cCA/edit?usp=sharing"",""ยโสธร!L279"")"),0)</f>
        <v>0</v>
      </c>
      <c r="M384" s="169"/>
      <c r="N384" s="169">
        <f ca="1">IFERROR(__xludf.DUMMYFUNCTION("IMPORTRANGE(""https://docs.google.com/spreadsheets/d/1XL5vhW3sbDhbH9Cz0tuDiY8C3ctxq1tqvaCgkFb8cCA/edit?usp=sharing"",""ยโสธร!M279"")"),0)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IFERROR(__xludf.DUMMYFUNCTION("IMPORTRANGE(""https://docs.google.com/spreadsheets/d/1XL5vhW3sbDhbH9Cz0tuDiY8C3ctxq1tqvaCgkFb8cCA/edit?usp=sharing"",""ยโสธร!L280"")"),460140)</f>
        <v>460140</v>
      </c>
      <c r="M385" s="169"/>
      <c r="N385" s="168">
        <f ca="1">IFERROR(__xludf.DUMMYFUNCTION("IMPORTRANGE(""https://docs.google.com/spreadsheets/d/1XL5vhW3sbDhbH9Cz0tuDiY8C3ctxq1tqvaCgkFb8cCA/edit?usp=sharing"",""ยโสธร!M280"")"),31820)</f>
        <v>31820</v>
      </c>
      <c r="O385" s="169">
        <f t="shared" ca="1" si="109"/>
        <v>6.9152866518885556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IFERROR(__xludf.DUMMYFUNCTION("IMPORTRANGE(""https://docs.google.com/spreadsheets/d/1XL5vhW3sbDhbH9Cz0tuDiY8C3ctxq1tqvaCgkFb8cCA/edit?usp=sharing"",""ยโสธร!M281"")"),25600)</f>
        <v>25600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IFERROR(__xludf.DUMMYFUNCTION("IMPORTRANGE(""https://docs.google.com/spreadsheets/d/1XL5vhW3sbDhbH9Cz0tuDiY8C3ctxq1tqvaCgkFb8cCA/edit?usp=sharing"",""ยโสธร!M282"")"),0)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IFERROR(__xludf.DUMMYFUNCTION("IMPORTRANGE(""https://docs.google.com/spreadsheets/d/1XL5vhW3sbDhbH9Cz0tuDiY8C3ctxq1tqvaCgkFb8cCA/edit?usp=sharing"",""ยโสธร!M283"")"),0)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IFERROR(__xludf.DUMMYFUNCTION("IMPORTRANGE(""https://docs.google.com/spreadsheets/d/1XL5vhW3sbDhbH9Cz0tuDiY8C3ctxq1tqvaCgkFb8cCA/edit?usp=sharing"",""ยโสธร!M284"")"),6220)</f>
        <v>6220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IFERROR(__xludf.DUMMYFUNCTION("IMPORTRANGE(""https://docs.google.com/spreadsheets/d/1XL5vhW3sbDhbH9Cz0tuDiY8C3ctxq1tqvaCgkFb8cCA/edit?usp=sharing"",""ยโสธร!J286"")"),0)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IFERROR(__xludf.DUMMYFUNCTION("IMPORTRANGE(""https://docs.google.com/spreadsheets/d/1XL5vhW3sbDhbH9Cz0tuDiY8C3ctxq1tqvaCgkFb8cCA/edit?usp=sharing"",""ยโสธร!J287"")"),1)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IFERROR(__xludf.DUMMYFUNCTION("IMPORTRANGE(""https://docs.google.com/spreadsheets/d/1XL5vhW3sbDhbH9Cz0tuDiY8C3ctxq1tqvaCgkFb8cCA/edit?usp=sharing"",""ยโสธร!J288"")"),1)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IFERROR(__xludf.DUMMYFUNCTION("IMPORTRANGE(""https://docs.google.com/spreadsheets/d/1XL5vhW3sbDhbH9Cz0tuDiY8C3ctxq1tqvaCgkFb8cCA/edit?usp=sharing"",""ยโสธร!J289"")"),1)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IFERROR(__xludf.DUMMYFUNCTION("IMPORTRANGE(""https://docs.google.com/spreadsheets/d/1XL5vhW3sbDhbH9Cz0tuDiY8C3ctxq1tqvaCgkFb8cCA/edit?usp=sharing"",""ยโสธร!I291"")"),50)</f>
        <v>50</v>
      </c>
      <c r="J396" s="198">
        <f ca="1">IFERROR(__xludf.DUMMYFUNCTION("IMPORTRANGE(""https://docs.google.com/spreadsheets/d/1XL5vhW3sbDhbH9Cz0tuDiY8C3ctxq1tqvaCgkFb8cCA/edit?usp=sharing"",""ยโสธร!J291"")"),50)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IFERROR(__xludf.DUMMYFUNCTION("IMPORTRANGE(""https://docs.google.com/spreadsheets/d/1XL5vhW3sbDhbH9Cz0tuDiY8C3ctxq1tqvaCgkFb8cCA/edit?usp=sharing"",""ยโสธร!I292"")"),500)</f>
        <v>500</v>
      </c>
      <c r="J397" s="198">
        <f ca="1">IFERROR(__xludf.DUMMYFUNCTION("IMPORTRANGE(""https://docs.google.com/spreadsheets/d/1XL5vhW3sbDhbH9Cz0tuDiY8C3ctxq1tqvaCgkFb8cCA/edit?usp=sharing"",""ยโสธร!J292"")"),0)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IFERROR(__xludf.DUMMYFUNCTION("IMPORTRANGE(""https://docs.google.com/spreadsheets/d/1XL5vhW3sbDhbH9Cz0tuDiY8C3ctxq1tqvaCgkFb8cCA/edit?usp=sharing"",""ยโสธร!I293"")"),50)</f>
        <v>50</v>
      </c>
      <c r="J398" s="198">
        <f ca="1">IFERROR(__xludf.DUMMYFUNCTION("IMPORTRANGE(""https://docs.google.com/spreadsheets/d/1XL5vhW3sbDhbH9Cz0tuDiY8C3ctxq1tqvaCgkFb8cCA/edit?usp=sharing"",""ยโสธร!J293"")"),0)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IFERROR(__xludf.DUMMYFUNCTION("IMPORTRANGE(""https://docs.google.com/spreadsheets/d/1XL5vhW3sbDhbH9Cz0tuDiY8C3ctxq1tqvaCgkFb8cCA/edit?usp=sharing"",""ยโสธร!J294"")"),0)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IFERROR(__xludf.DUMMYFUNCTION("IMPORTRANGE(""https://docs.google.com/spreadsheets/d/1XL5vhW3sbDhbH9Cz0tuDiY8C3ctxq1tqvaCgkFb8cCA/edit?usp=sharing"",""ยโสธร!J295"")"),0)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IFERROR(__xludf.DUMMYFUNCTION("IMPORTRANGE(""https://docs.google.com/spreadsheets/d/1XL5vhW3sbDhbH9Cz0tuDiY8C3ctxq1tqvaCgkFb8cCA/edit?usp=sharing"",""ยโสธร!I296"")"),165)</f>
        <v>165</v>
      </c>
      <c r="J401" s="371">
        <f ca="1">IFERROR(__xludf.DUMMYFUNCTION("IMPORTRANGE(""https://docs.google.com/spreadsheets/d/1XL5vhW3sbDhbH9Cz0tuDiY8C3ctxq1tqvaCgkFb8cCA/edit?usp=sharing"",""ยโสธร!J296"")"),165)</f>
        <v>165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IFERROR(__xludf.DUMMYFUNCTION("IMPORTRANGE(""https://docs.google.com/spreadsheets/d/1XL5vhW3sbDhbH9Cz0tuDiY8C3ctxq1tqvaCgkFb8cCA/edit?usp=sharing"",""ยโสธร!L296"")"),193190)</f>
        <v>193190</v>
      </c>
      <c r="M401" s="373"/>
      <c r="N401" s="373">
        <f ca="1">IFERROR(__xludf.DUMMYFUNCTION("IMPORTRANGE(""https://docs.google.com/spreadsheets/d/1XL5vhW3sbDhbH9Cz0tuDiY8C3ctxq1tqvaCgkFb8cCA/edit?usp=sharing"",""ยโสธร!M296"")"),100050)</f>
        <v>100050</v>
      </c>
      <c r="O401" s="373">
        <f ca="1">+IF(L401&gt;0,N401*100/L401,0)</f>
        <v>51.788394844453649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IFERROR(__xludf.DUMMYFUNCTION("IMPORTRANGE(""https://docs.google.com/spreadsheets/d/1XL5vhW3sbDhbH9Cz0tuDiY8C3ctxq1tqvaCgkFb8cCA/edit?usp=sharing"",""ยโสธร!I297"")"),55)</f>
        <v>55</v>
      </c>
      <c r="J402" s="371">
        <f ca="1">IFERROR(__xludf.DUMMYFUNCTION("IMPORTRANGE(""https://docs.google.com/spreadsheets/d/1XL5vhW3sbDhbH9Cz0tuDiY8C3ctxq1tqvaCgkFb8cCA/edit?usp=sharing"",""ยโสธร!J297"")"),55)</f>
        <v>55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IFERROR(__xludf.DUMMYFUNCTION("IMPORTRANGE(""https://docs.google.com/spreadsheets/d/1XL5vhW3sbDhbH9Cz0tuDiY8C3ctxq1tqvaCgkFb8cCA/edit?usp=sharing"",""ยโสธร!L298"")"),0)</f>
        <v>0</v>
      </c>
      <c r="M403" s="164"/>
      <c r="N403" s="169">
        <f ca="1">IFERROR(__xludf.DUMMYFUNCTION("IMPORTRANGE(""https://docs.google.com/spreadsheets/d/1XL5vhW3sbDhbH9Cz0tuDiY8C3ctxq1tqvaCgkFb8cCA/edit?usp=sharing"",""ยโสธร!M298"")"),0)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IFERROR(__xludf.DUMMYFUNCTION("IMPORTRANGE(""https://docs.google.com/spreadsheets/d/1XL5vhW3sbDhbH9Cz0tuDiY8C3ctxq1tqvaCgkFb8cCA/edit?usp=sharing"",""ยโสธร!L299"")"),193190)</f>
        <v>193190</v>
      </c>
      <c r="M404" s="165"/>
      <c r="N404" s="169">
        <f ca="1">IFERROR(__xludf.DUMMYFUNCTION("IMPORTRANGE(""https://docs.google.com/spreadsheets/d/1XL5vhW3sbDhbH9Cz0tuDiY8C3ctxq1tqvaCgkFb8cCA/edit?usp=sharing"",""ยโสธร!M299"")"),100050)</f>
        <v>100050</v>
      </c>
      <c r="O404" s="169">
        <f t="shared" ca="1" si="112"/>
        <v>51.788394844453649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IFERROR(__xludf.DUMMYFUNCTION("IMPORTRANGE(""https://docs.google.com/spreadsheets/d/1XL5vhW3sbDhbH9Cz0tuDiY8C3ctxq1tqvaCgkFb8cCA/edit?usp=sharing"",""ยโสธร!L300"")"),0)</f>
        <v>0</v>
      </c>
      <c r="M405" s="169"/>
      <c r="N405" s="169">
        <f ca="1">IFERROR(__xludf.DUMMYFUNCTION("IMPORTRANGE(""https://docs.google.com/spreadsheets/d/1XL5vhW3sbDhbH9Cz0tuDiY8C3ctxq1tqvaCgkFb8cCA/edit?usp=sharing"",""ยโสธร!M300"")"),0)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IFERROR(__xludf.DUMMYFUNCTION("IMPORTRANGE(""https://docs.google.com/spreadsheets/d/1XL5vhW3sbDhbH9Cz0tuDiY8C3ctxq1tqvaCgkFb8cCA/edit?usp=sharing"",""ยโสธร!L301"")"),193190)</f>
        <v>193190</v>
      </c>
      <c r="M406" s="169"/>
      <c r="N406" s="169">
        <f ca="1">IFERROR(__xludf.DUMMYFUNCTION("IMPORTRANGE(""https://docs.google.com/spreadsheets/d/1XL5vhW3sbDhbH9Cz0tuDiY8C3ctxq1tqvaCgkFb8cCA/edit?usp=sharing"",""ยโสธร!M301"")"),100050)</f>
        <v>100050</v>
      </c>
      <c r="O406" s="169">
        <f t="shared" ca="1" si="112"/>
        <v>51.788394844453649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IFERROR(__xludf.DUMMYFUNCTION("IMPORTRANGE(""https://docs.google.com/spreadsheets/d/1XL5vhW3sbDhbH9Cz0tuDiY8C3ctxq1tqvaCgkFb8cCA/edit?usp=sharing"",""ยโสธร!M302"")"),81080)</f>
        <v>81080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IFERROR(__xludf.DUMMYFUNCTION("IMPORTRANGE(""https://docs.google.com/spreadsheets/d/1XL5vhW3sbDhbH9Cz0tuDiY8C3ctxq1tqvaCgkFb8cCA/edit?usp=sharing"",""ยโสธร!M303"")"),0)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IFERROR(__xludf.DUMMYFUNCTION("IMPORTRANGE(""https://docs.google.com/spreadsheets/d/1XL5vhW3sbDhbH9Cz0tuDiY8C3ctxq1tqvaCgkFb8cCA/edit?usp=sharing"",""ยโสธร!M304"")"),0)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IFERROR(__xludf.DUMMYFUNCTION("IMPORTRANGE(""https://docs.google.com/spreadsheets/d/1XL5vhW3sbDhbH9Cz0tuDiY8C3ctxq1tqvaCgkFb8cCA/edit?usp=sharing"",""ยโสธร!M305"")"),18970)</f>
        <v>18970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IFERROR(__xludf.DUMMYFUNCTION("IMPORTRANGE(""https://docs.google.com/spreadsheets/d/1XL5vhW3sbDhbH9Cz0tuDiY8C3ctxq1tqvaCgkFb8cCA/edit?usp=sharing"",""ยโสธร!J307"")"),0)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IFERROR(__xludf.DUMMYFUNCTION("IMPORTRANGE(""https://docs.google.com/spreadsheets/d/1XL5vhW3sbDhbH9Cz0tuDiY8C3ctxq1tqvaCgkFb8cCA/edit?usp=sharing"",""ยโสธร!J308"")"),1)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IFERROR(__xludf.DUMMYFUNCTION("IMPORTRANGE(""https://docs.google.com/spreadsheets/d/1XL5vhW3sbDhbH9Cz0tuDiY8C3ctxq1tqvaCgkFb8cCA/edit?usp=sharing"",""ยโสธร!J309"")"),1)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IFERROR(__xludf.DUMMYFUNCTION("IMPORTRANGE(""https://docs.google.com/spreadsheets/d/1XL5vhW3sbDhbH9Cz0tuDiY8C3ctxq1tqvaCgkFb8cCA/edit?usp=sharing"",""ยโสธร!J310"")"),1)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IFERROR(__xludf.DUMMYFUNCTION("IMPORTRANGE(""https://docs.google.com/spreadsheets/d/1XL5vhW3sbDhbH9Cz0tuDiY8C3ctxq1tqvaCgkFb8cCA/edit?usp=sharing"",""ยโสธร!I311"")"),55)</f>
        <v>55</v>
      </c>
      <c r="J416" s="201">
        <f ca="1">IFERROR(__xludf.DUMMYFUNCTION("IMPORTRANGE(""https://docs.google.com/spreadsheets/d/1XL5vhW3sbDhbH9Cz0tuDiY8C3ctxq1tqvaCgkFb8cCA/edit?usp=sharing"",""ยโสธร!J311"")"),55)</f>
        <v>55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IFERROR(__xludf.DUMMYFUNCTION("IMPORTRANGE(""https://docs.google.com/spreadsheets/d/1XL5vhW3sbDhbH9Cz0tuDiY8C3ctxq1tqvaCgkFb8cCA/edit?usp=sharing"",""ยโสธร!I312"")"),20)</f>
        <v>20</v>
      </c>
      <c r="J417" s="392">
        <f ca="1">IFERROR(__xludf.DUMMYFUNCTION("IMPORTRANGE(""https://docs.google.com/spreadsheets/d/1XL5vhW3sbDhbH9Cz0tuDiY8C3ctxq1tqvaCgkFb8cCA/edit?usp=sharing"",""ยโสธร!J312"")"),20)</f>
        <v>20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IFERROR(__xludf.DUMMYFUNCTION("IMPORTRANGE(""https://docs.google.com/spreadsheets/d/1XL5vhW3sbDhbH9Cz0tuDiY8C3ctxq1tqvaCgkFb8cCA/edit?usp=sharing"",""ยโสธร!I313"")"),60)</f>
        <v>60</v>
      </c>
      <c r="J418" s="393">
        <f ca="1">IFERROR(__xludf.DUMMYFUNCTION("IMPORTRANGE(""https://docs.google.com/spreadsheets/d/1XL5vhW3sbDhbH9Cz0tuDiY8C3ctxq1tqvaCgkFb8cCA/edit?usp=sharing"",""ยโสธร!J313"")"),60)</f>
        <v>60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IFERROR(__xludf.DUMMYFUNCTION("IMPORTRANGE(""https://docs.google.com/spreadsheets/d/1XL5vhW3sbDhbH9Cz0tuDiY8C3ctxq1tqvaCgkFb8cCA/edit?usp=sharing"",""ยโสธร!I314"")"),20)</f>
        <v>20</v>
      </c>
      <c r="J419" s="394">
        <f ca="1">IFERROR(__xludf.DUMMYFUNCTION("IMPORTRANGE(""https://docs.google.com/spreadsheets/d/1XL5vhW3sbDhbH9Cz0tuDiY8C3ctxq1tqvaCgkFb8cCA/edit?usp=sharing"",""ยโสธร!J314"")"),20)</f>
        <v>20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IFERROR(__xludf.DUMMYFUNCTION("IMPORTRANGE(""https://docs.google.com/spreadsheets/d/1XL5vhW3sbDhbH9Cz0tuDiY8C3ctxq1tqvaCgkFb8cCA/edit?usp=sharing"",""ยโสธร!I315"")"),20)</f>
        <v>20</v>
      </c>
      <c r="J420" s="394">
        <f ca="1">IFERROR(__xludf.DUMMYFUNCTION("IMPORTRANGE(""https://docs.google.com/spreadsheets/d/1XL5vhW3sbDhbH9Cz0tuDiY8C3ctxq1tqvaCgkFb8cCA/edit?usp=sharing"",""ยโสธร!J315"")"),20)</f>
        <v>20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IFERROR(__xludf.DUMMYFUNCTION("IMPORTRANGE(""https://docs.google.com/spreadsheets/d/1XL5vhW3sbDhbH9Cz0tuDiY8C3ctxq1tqvaCgkFb8cCA/edit?usp=sharing"",""ยโสธร!I316"")"),25)</f>
        <v>25</v>
      </c>
      <c r="J421" s="392">
        <f ca="1">IFERROR(__xludf.DUMMYFUNCTION("IMPORTRANGE(""https://docs.google.com/spreadsheets/d/1XL5vhW3sbDhbH9Cz0tuDiY8C3ctxq1tqvaCgkFb8cCA/edit?usp=sharing"",""ยโสธร!J316"")"),25)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IFERROR(__xludf.DUMMYFUNCTION("IMPORTRANGE(""https://docs.google.com/spreadsheets/d/1XL5vhW3sbDhbH9Cz0tuDiY8C3ctxq1tqvaCgkFb8cCA/edit?usp=sharing"",""ยโสธร!I317"")"),75)</f>
        <v>75</v>
      </c>
      <c r="J422" s="393">
        <f ca="1">IFERROR(__xludf.DUMMYFUNCTION("IMPORTRANGE(""https://docs.google.com/spreadsheets/d/1XL5vhW3sbDhbH9Cz0tuDiY8C3ctxq1tqvaCgkFb8cCA/edit?usp=sharing"",""ยโสธร!J317"")"),75)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IFERROR(__xludf.DUMMYFUNCTION("IMPORTRANGE(""https://docs.google.com/spreadsheets/d/1XL5vhW3sbDhbH9Cz0tuDiY8C3ctxq1tqvaCgkFb8cCA/edit?usp=sharing"",""ยโสธร!I318"")"),25)</f>
        <v>25</v>
      </c>
      <c r="J423" s="394">
        <f ca="1">IFERROR(__xludf.DUMMYFUNCTION("IMPORTRANGE(""https://docs.google.com/spreadsheets/d/1XL5vhW3sbDhbH9Cz0tuDiY8C3ctxq1tqvaCgkFb8cCA/edit?usp=sharing"",""ยโสธร!J318"")"),25)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IFERROR(__xludf.DUMMYFUNCTION("IMPORTRANGE(""https://docs.google.com/spreadsheets/d/1XL5vhW3sbDhbH9Cz0tuDiY8C3ctxq1tqvaCgkFb8cCA/edit?usp=sharing"",""ยโสธร!I319"")"),25)</f>
        <v>25</v>
      </c>
      <c r="J424" s="394">
        <f ca="1">IFERROR(__xludf.DUMMYFUNCTION("IMPORTRANGE(""https://docs.google.com/spreadsheets/d/1XL5vhW3sbDhbH9Cz0tuDiY8C3ctxq1tqvaCgkFb8cCA/edit?usp=sharing"",""ยโสธร!J319"")"),25)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IFERROR(__xludf.DUMMYFUNCTION("IMPORTRANGE(""https://docs.google.com/spreadsheets/d/1XL5vhW3sbDhbH9Cz0tuDiY8C3ctxq1tqvaCgkFb8cCA/edit?usp=sharing"",""ยโสธร!I320"")"),25)</f>
        <v>25</v>
      </c>
      <c r="J425" s="394">
        <f ca="1">IFERROR(__xludf.DUMMYFUNCTION("IMPORTRANGE(""https://docs.google.com/spreadsheets/d/1XL5vhW3sbDhbH9Cz0tuDiY8C3ctxq1tqvaCgkFb8cCA/edit?usp=sharing"",""ยโสธร!J320"")"),25)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IFERROR(__xludf.DUMMYFUNCTION("IMPORTRANGE(""https://docs.google.com/spreadsheets/d/1XL5vhW3sbDhbH9Cz0tuDiY8C3ctxq1tqvaCgkFb8cCA/edit?usp=sharing"",""ยโสธร!I321"")"),10)</f>
        <v>10</v>
      </c>
      <c r="J426" s="392">
        <f ca="1">IFERROR(__xludf.DUMMYFUNCTION("IMPORTRANGE(""https://docs.google.com/spreadsheets/d/1XL5vhW3sbDhbH9Cz0tuDiY8C3ctxq1tqvaCgkFb8cCA/edit?usp=sharing"",""ยโสธร!J321"")"),10)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IFERROR(__xludf.DUMMYFUNCTION("IMPORTRANGE(""https://docs.google.com/spreadsheets/d/1XL5vhW3sbDhbH9Cz0tuDiY8C3ctxq1tqvaCgkFb8cCA/edit?usp=sharing"",""ยโสธร!I322"")"),30)</f>
        <v>30</v>
      </c>
      <c r="J427" s="393">
        <f ca="1">IFERROR(__xludf.DUMMYFUNCTION("IMPORTRANGE(""https://docs.google.com/spreadsheets/d/1XL5vhW3sbDhbH9Cz0tuDiY8C3ctxq1tqvaCgkFb8cCA/edit?usp=sharing"",""ยโสธร!J322"")"),30)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IFERROR(__xludf.DUMMYFUNCTION("IMPORTRANGE(""https://docs.google.com/spreadsheets/d/1XL5vhW3sbDhbH9Cz0tuDiY8C3ctxq1tqvaCgkFb8cCA/edit?usp=sharing"",""ยโสธร!I323"")"),10)</f>
        <v>10</v>
      </c>
      <c r="J428" s="394">
        <f ca="1">IFERROR(__xludf.DUMMYFUNCTION("IMPORTRANGE(""https://docs.google.com/spreadsheets/d/1XL5vhW3sbDhbH9Cz0tuDiY8C3ctxq1tqvaCgkFb8cCA/edit?usp=sharing"",""ยโสธร!J323"")"),10)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IFERROR(__xludf.DUMMYFUNCTION("IMPORTRANGE(""https://docs.google.com/spreadsheets/d/1XL5vhW3sbDhbH9Cz0tuDiY8C3ctxq1tqvaCgkFb8cCA/edit?usp=sharing"",""ยโสธร!I324"")"),10)</f>
        <v>10</v>
      </c>
      <c r="J429" s="394">
        <f ca="1">IFERROR(__xludf.DUMMYFUNCTION("IMPORTRANGE(""https://docs.google.com/spreadsheets/d/1XL5vhW3sbDhbH9Cz0tuDiY8C3ctxq1tqvaCgkFb8cCA/edit?usp=sharing"",""ยโสธร!J324"")"),10)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IFERROR(__xludf.DUMMYFUNCTION("IMPORTRANGE(""https://docs.google.com/spreadsheets/d/1XL5vhW3sbDhbH9Cz0tuDiY8C3ctxq1tqvaCgkFb8cCA/edit?usp=sharing"",""ยโสธร!I325"")"),45)</f>
        <v>45</v>
      </c>
      <c r="J430" s="392">
        <f ca="1">IFERROR(__xludf.DUMMYFUNCTION("IMPORTRANGE(""https://docs.google.com/spreadsheets/d/1XL5vhW3sbDhbH9Cz0tuDiY8C3ctxq1tqvaCgkFb8cCA/edit?usp=sharing"",""ยโสธร!J325"")"),0)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IFERROR(__xludf.DUMMYFUNCTION("IMPORTRANGE(""https://docs.google.com/spreadsheets/d/1XL5vhW3sbDhbH9Cz0tuDiY8C3ctxq1tqvaCgkFb8cCA/edit?usp=sharing"",""ยโสธร!I326"")"),20)</f>
        <v>20</v>
      </c>
      <c r="J431" s="394">
        <f ca="1">IFERROR(__xludf.DUMMYFUNCTION("IMPORTRANGE(""https://docs.google.com/spreadsheets/d/1XL5vhW3sbDhbH9Cz0tuDiY8C3ctxq1tqvaCgkFb8cCA/edit?usp=sharing"",""ยโสธร!J326"")"),0)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IFERROR(__xludf.DUMMYFUNCTION("IMPORTRANGE(""https://docs.google.com/spreadsheets/d/1XL5vhW3sbDhbH9Cz0tuDiY8C3ctxq1tqvaCgkFb8cCA/edit?usp=sharing"",""ยโสธร!I327"")"),25)</f>
        <v>25</v>
      </c>
      <c r="J432" s="394">
        <f ca="1">IFERROR(__xludf.DUMMYFUNCTION("IMPORTRANGE(""https://docs.google.com/spreadsheets/d/1XL5vhW3sbDhbH9Cz0tuDiY8C3ctxq1tqvaCgkFb8cCA/edit?usp=sharing"",""ยโสธร!J327"")"),0)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IFERROR(__xludf.DUMMYFUNCTION("IMPORTRANGE(""https://docs.google.com/spreadsheets/d/1XL5vhW3sbDhbH9Cz0tuDiY8C3ctxq1tqvaCgkFb8cCA/edit?usp=sharing"",""ยโสธร!J328"")"),0)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IFERROR(__xludf.DUMMYFUNCTION("IMPORTRANGE(""https://docs.google.com/spreadsheets/d/1XL5vhW3sbDhbH9Cz0tuDiY8C3ctxq1tqvaCgkFb8cCA/edit?usp=sharing"",""ยโสธร!J329"")"),0)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IFERROR(__xludf.DUMMYFUNCTION("IMPORTRANGE(""https://docs.google.com/spreadsheets/d/1XL5vhW3sbDhbH9Cz0tuDiY8C3ctxq1tqvaCgkFb8cCA/edit?usp=sharing"",""ยโสธร!I330"")"),15)</f>
        <v>15</v>
      </c>
      <c r="J435" s="410">
        <f ca="1">IFERROR(__xludf.DUMMYFUNCTION("IMPORTRANGE(""https://docs.google.com/spreadsheets/d/1XL5vhW3sbDhbH9Cz0tuDiY8C3ctxq1tqvaCgkFb8cCA/edit?usp=sharing"",""ยโสธร!J330"")"),15)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IFERROR(__xludf.DUMMYFUNCTION("IMPORTRANGE(""https://docs.google.com/spreadsheets/d/1XL5vhW3sbDhbH9Cz0tuDiY8C3ctxq1tqvaCgkFb8cCA/edit?usp=sharing"",""ยโสธร!L330"")"),106000)</f>
        <v>106000</v>
      </c>
      <c r="M435" s="412"/>
      <c r="N435" s="412">
        <f ca="1">IFERROR(__xludf.DUMMYFUNCTION("IMPORTRANGE(""https://docs.google.com/spreadsheets/d/1XL5vhW3sbDhbH9Cz0tuDiY8C3ctxq1tqvaCgkFb8cCA/edit?usp=sharing"",""ยโสธร!M330"")"),63300)</f>
        <v>63300</v>
      </c>
      <c r="O435" s="412">
        <f t="shared" ref="O435:O439" ca="1" si="114">+IF(L435&gt;0,N435*100/L435,0)</f>
        <v>59.716981132075475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IFERROR(__xludf.DUMMYFUNCTION("IMPORTRANGE(""https://docs.google.com/spreadsheets/d/1XL5vhW3sbDhbH9Cz0tuDiY8C3ctxq1tqvaCgkFb8cCA/edit?usp=sharing"",""ยโสธร!L331"")"),0)</f>
        <v>0</v>
      </c>
      <c r="M436" s="164"/>
      <c r="N436" s="169">
        <f ca="1">IFERROR(__xludf.DUMMYFUNCTION("IMPORTRANGE(""https://docs.google.com/spreadsheets/d/1XL5vhW3sbDhbH9Cz0tuDiY8C3ctxq1tqvaCgkFb8cCA/edit?usp=sharing"",""ยโสธร!M331"")"),0)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IFERROR(__xludf.DUMMYFUNCTION("IMPORTRANGE(""https://docs.google.com/spreadsheets/d/1XL5vhW3sbDhbH9Cz0tuDiY8C3ctxq1tqvaCgkFb8cCA/edit?usp=sharing"",""ยโสธร!L332"")"),106000)</f>
        <v>106000</v>
      </c>
      <c r="M437" s="165"/>
      <c r="N437" s="169">
        <f ca="1">IFERROR(__xludf.DUMMYFUNCTION("IMPORTRANGE(""https://docs.google.com/spreadsheets/d/1XL5vhW3sbDhbH9Cz0tuDiY8C3ctxq1tqvaCgkFb8cCA/edit?usp=sharing"",""ยโสธร!M332"")"),63300)</f>
        <v>63300</v>
      </c>
      <c r="O437" s="169">
        <f t="shared" ca="1" si="114"/>
        <v>59.716981132075475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IFERROR(__xludf.DUMMYFUNCTION("IMPORTRANGE(""https://docs.google.com/spreadsheets/d/1XL5vhW3sbDhbH9Cz0tuDiY8C3ctxq1tqvaCgkFb8cCA/edit?usp=sharing"",""ยโสธร!L333"")"),0)</f>
        <v>0</v>
      </c>
      <c r="M438" s="169"/>
      <c r="N438" s="169">
        <f ca="1">IFERROR(__xludf.DUMMYFUNCTION("IMPORTRANGE(""https://docs.google.com/spreadsheets/d/1XL5vhW3sbDhbH9Cz0tuDiY8C3ctxq1tqvaCgkFb8cCA/edit?usp=sharing"",""ยโสธร!M333"")"),0)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IFERROR(__xludf.DUMMYFUNCTION("IMPORTRANGE(""https://docs.google.com/spreadsheets/d/1XL5vhW3sbDhbH9Cz0tuDiY8C3ctxq1tqvaCgkFb8cCA/edit?usp=sharing"",""ยโสธร!L334"")"),106000)</f>
        <v>106000</v>
      </c>
      <c r="M439" s="169"/>
      <c r="N439" s="169">
        <f ca="1">IFERROR(__xludf.DUMMYFUNCTION("IMPORTRANGE(""https://docs.google.com/spreadsheets/d/1XL5vhW3sbDhbH9Cz0tuDiY8C3ctxq1tqvaCgkFb8cCA/edit?usp=sharing"",""ยโสธร!M334"")"),63300)</f>
        <v>63300</v>
      </c>
      <c r="O439" s="169">
        <f t="shared" ca="1" si="114"/>
        <v>59.716981132075475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IFERROR(__xludf.DUMMYFUNCTION("IMPORTRANGE(""https://docs.google.com/spreadsheets/d/1XL5vhW3sbDhbH9Cz0tuDiY8C3ctxq1tqvaCgkFb8cCA/edit?usp=sharing"",""ยโสธร!M335"")"),52880)</f>
        <v>52880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IFERROR(__xludf.DUMMYFUNCTION("IMPORTRANGE(""https://docs.google.com/spreadsheets/d/1XL5vhW3sbDhbH9Cz0tuDiY8C3ctxq1tqvaCgkFb8cCA/edit?usp=sharing"",""ยโสธร!M336"")"),0)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IFERROR(__xludf.DUMMYFUNCTION("IMPORTRANGE(""https://docs.google.com/spreadsheets/d/1XL5vhW3sbDhbH9Cz0tuDiY8C3ctxq1tqvaCgkFb8cCA/edit?usp=sharing"",""ยโสธร!M337"")"),0)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IFERROR(__xludf.DUMMYFUNCTION("IMPORTRANGE(""https://docs.google.com/spreadsheets/d/1XL5vhW3sbDhbH9Cz0tuDiY8C3ctxq1tqvaCgkFb8cCA/edit?usp=sharing"",""ยโสธร!M338"")"),10420)</f>
        <v>10420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IFERROR(__xludf.DUMMYFUNCTION("IMPORTRANGE(""https://docs.google.com/spreadsheets/d/1XL5vhW3sbDhbH9Cz0tuDiY8C3ctxq1tqvaCgkFb8cCA/edit?usp=sharing"",""ยโสธร!J340"")"),0)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IFERROR(__xludf.DUMMYFUNCTION("IMPORTRANGE(""https://docs.google.com/spreadsheets/d/1XL5vhW3sbDhbH9Cz0tuDiY8C3ctxq1tqvaCgkFb8cCA/edit?usp=sharing"",""ยโสธร!J341"")"),1)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IFERROR(__xludf.DUMMYFUNCTION("IMPORTRANGE(""https://docs.google.com/spreadsheets/d/1XL5vhW3sbDhbH9Cz0tuDiY8C3ctxq1tqvaCgkFb8cCA/edit?usp=sharing"",""ยโสธร!J342"")"),1)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IFERROR(__xludf.DUMMYFUNCTION("IMPORTRANGE(""https://docs.google.com/spreadsheets/d/1XL5vhW3sbDhbH9Cz0tuDiY8C3ctxq1tqvaCgkFb8cCA/edit?usp=sharing"",""ยโสธร!J343"")"),1)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IFERROR(__xludf.DUMMYFUNCTION("IMPORTRANGE(""https://docs.google.com/spreadsheets/d/1XL5vhW3sbDhbH9Cz0tuDiY8C3ctxq1tqvaCgkFb8cCA/edit?usp=sharing"",""ยโสธร!I344"")"),15)</f>
        <v>15</v>
      </c>
      <c r="J449" s="201">
        <f ca="1">IFERROR(__xludf.DUMMYFUNCTION("IMPORTRANGE(""https://docs.google.com/spreadsheets/d/1XL5vhW3sbDhbH9Cz0tuDiY8C3ctxq1tqvaCgkFb8cCA/edit?usp=sharing"",""ยโสธร!J344"")"),15)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IFERROR(__xludf.DUMMYFUNCTION("IMPORTRANGE(""https://docs.google.com/spreadsheets/d/1XL5vhW3sbDhbH9Cz0tuDiY8C3ctxq1tqvaCgkFb8cCA/edit?usp=sharing"",""ยโสธร!I345"")"),15)</f>
        <v>15</v>
      </c>
      <c r="J450" s="189">
        <f ca="1">IFERROR(__xludf.DUMMYFUNCTION("IMPORTRANGE(""https://docs.google.com/spreadsheets/d/1XL5vhW3sbDhbH9Cz0tuDiY8C3ctxq1tqvaCgkFb8cCA/edit?usp=sharing"",""ยโสธร!J345"")"),15)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IFERROR(__xludf.DUMMYFUNCTION("IMPORTRANGE(""https://docs.google.com/spreadsheets/d/1XL5vhW3sbDhbH9Cz0tuDiY8C3ctxq1tqvaCgkFb8cCA/edit?usp=sharing"",""ยโสธร!I346"")"),0)</f>
        <v>0</v>
      </c>
      <c r="J451" s="188">
        <f ca="1">IFERROR(__xludf.DUMMYFUNCTION("IMPORTRANGE(""https://docs.google.com/spreadsheets/d/1XL5vhW3sbDhbH9Cz0tuDiY8C3ctxq1tqvaCgkFb8cCA/edit?usp=sharing"",""ยโสธร!J346"")"),0)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IFERROR(__xludf.DUMMYFUNCTION("IMPORTRANGE(""https://docs.google.com/spreadsheets/d/1XL5vhW3sbDhbH9Cz0tuDiY8C3ctxq1tqvaCgkFb8cCA/edit?usp=sharing"",""ยโสธร!I347"")"),0)</f>
        <v>0</v>
      </c>
      <c r="J452" s="188">
        <f ca="1">IFERROR(__xludf.DUMMYFUNCTION("IMPORTRANGE(""https://docs.google.com/spreadsheets/d/1XL5vhW3sbDhbH9Cz0tuDiY8C3ctxq1tqvaCgkFb8cCA/edit?usp=sharing"",""ยโสธร!J347"")"),0)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IFERROR(__xludf.DUMMYFUNCTION("IMPORTRANGE(""https://docs.google.com/spreadsheets/d/1XL5vhW3sbDhbH9Cz0tuDiY8C3ctxq1tqvaCgkFb8cCA/edit?usp=sharing"",""ยโสธร!J348"")"),0)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IFERROR(__xludf.DUMMYFUNCTION("IMPORTRANGE(""https://docs.google.com/spreadsheets/d/1XL5vhW3sbDhbH9Cz0tuDiY8C3ctxq1tqvaCgkFb8cCA/edit?usp=sharing"",""ยโสธร!J349"")"),0)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IFERROR(__xludf.DUMMYFUNCTION("IMPORTRANGE(""https://docs.google.com/spreadsheets/d/1XL5vhW3sbDhbH9Cz0tuDiY8C3ctxq1tqvaCgkFb8cCA/edit?usp=sharing"",""ยโสธร!I350"")"),46348)</f>
        <v>46348</v>
      </c>
      <c r="J455" s="371">
        <f ca="1">IFERROR(__xludf.DUMMYFUNCTION("IMPORTRANGE(""https://docs.google.com/spreadsheets/d/1XL5vhW3sbDhbH9Cz0tuDiY8C3ctxq1tqvaCgkFb8cCA/edit?usp=sharing"",""ยโสธร!J350"")"),0)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IFERROR(__xludf.DUMMYFUNCTION("IMPORTRANGE(""https://docs.google.com/spreadsheets/d/1XL5vhW3sbDhbH9Cz0tuDiY8C3ctxq1tqvaCgkFb8cCA/edit?usp=sharing"",""ยโสธร!L350"")"),452063)</f>
        <v>452063</v>
      </c>
      <c r="M455" s="373"/>
      <c r="N455" s="373">
        <f ca="1">IFERROR(__xludf.DUMMYFUNCTION("IMPORTRANGE(""https://docs.google.com/spreadsheets/d/1XL5vhW3sbDhbH9Cz0tuDiY8C3ctxq1tqvaCgkFb8cCA/edit?usp=sharing"",""ยโสธร!M350"")"),89443)</f>
        <v>89443</v>
      </c>
      <c r="O455" s="373">
        <f t="shared" ref="O455:O459" ca="1" si="116">+IF(L455&gt;0,N455*100/L455,0)</f>
        <v>19.785516620471039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IFERROR(__xludf.DUMMYFUNCTION("IMPORTRANGE(""https://docs.google.com/spreadsheets/d/1XL5vhW3sbDhbH9Cz0tuDiY8C3ctxq1tqvaCgkFb8cCA/edit?usp=sharing"",""ยโสธร!L351"")"),0)</f>
        <v>0</v>
      </c>
      <c r="M456" s="164"/>
      <c r="N456" s="169">
        <f ca="1">IFERROR(__xludf.DUMMYFUNCTION("IMPORTRANGE(""https://docs.google.com/spreadsheets/d/1XL5vhW3sbDhbH9Cz0tuDiY8C3ctxq1tqvaCgkFb8cCA/edit?usp=sharing"",""ยโสธร!M351"")"),0)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IFERROR(__xludf.DUMMYFUNCTION("IMPORTRANGE(""https://docs.google.com/spreadsheets/d/1XL5vhW3sbDhbH9Cz0tuDiY8C3ctxq1tqvaCgkFb8cCA/edit?usp=sharing"",""ยโสธร!L352"")"),452063)</f>
        <v>452063</v>
      </c>
      <c r="M457" s="165"/>
      <c r="N457" s="169">
        <f ca="1">IFERROR(__xludf.DUMMYFUNCTION("IMPORTRANGE(""https://docs.google.com/spreadsheets/d/1XL5vhW3sbDhbH9Cz0tuDiY8C3ctxq1tqvaCgkFb8cCA/edit?usp=sharing"",""ยโสธร!M352"")"),89443)</f>
        <v>89443</v>
      </c>
      <c r="O457" s="169">
        <f t="shared" ca="1" si="116"/>
        <v>19.785516620471039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IFERROR(__xludf.DUMMYFUNCTION("IMPORTRANGE(""https://docs.google.com/spreadsheets/d/1XL5vhW3sbDhbH9Cz0tuDiY8C3ctxq1tqvaCgkFb8cCA/edit?usp=sharing"",""ยโสธร!L353"")"),0)</f>
        <v>0</v>
      </c>
      <c r="M458" s="169"/>
      <c r="N458" s="169">
        <f ca="1">IFERROR(__xludf.DUMMYFUNCTION("IMPORTRANGE(""https://docs.google.com/spreadsheets/d/1XL5vhW3sbDhbH9Cz0tuDiY8C3ctxq1tqvaCgkFb8cCA/edit?usp=sharing"",""ยโสธร!M353"")"),0)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IFERROR(__xludf.DUMMYFUNCTION("IMPORTRANGE(""https://docs.google.com/spreadsheets/d/1XL5vhW3sbDhbH9Cz0tuDiY8C3ctxq1tqvaCgkFb8cCA/edit?usp=sharing"",""ยโสธร!L354"")"),452063)</f>
        <v>452063</v>
      </c>
      <c r="M459" s="169"/>
      <c r="N459" s="169">
        <f ca="1">IFERROR(__xludf.DUMMYFUNCTION("IMPORTRANGE(""https://docs.google.com/spreadsheets/d/1XL5vhW3sbDhbH9Cz0tuDiY8C3ctxq1tqvaCgkFb8cCA/edit?usp=sharing"",""ยโสธร!M354"")"),89443)</f>
        <v>89443</v>
      </c>
      <c r="O459" s="169">
        <f t="shared" ca="1" si="116"/>
        <v>19.785516620471039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IFERROR(__xludf.DUMMYFUNCTION("IMPORTRANGE(""https://docs.google.com/spreadsheets/d/1XL5vhW3sbDhbH9Cz0tuDiY8C3ctxq1tqvaCgkFb8cCA/edit?usp=sharing"",""ยโสธร!M355"")"),0)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IFERROR(__xludf.DUMMYFUNCTION("IMPORTRANGE(""https://docs.google.com/spreadsheets/d/1XL5vhW3sbDhbH9Cz0tuDiY8C3ctxq1tqvaCgkFb8cCA/edit?usp=sharing"",""ยโสธร!M356"")"),0)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IFERROR(__xludf.DUMMYFUNCTION("IMPORTRANGE(""https://docs.google.com/spreadsheets/d/1XL5vhW3sbDhbH9Cz0tuDiY8C3ctxq1tqvaCgkFb8cCA/edit?usp=sharing"",""ยโสธร!M357"")"),53533)</f>
        <v>53533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IFERROR(__xludf.DUMMYFUNCTION("IMPORTRANGE(""https://docs.google.com/spreadsheets/d/1XL5vhW3sbDhbH9Cz0tuDiY8C3ctxq1tqvaCgkFb8cCA/edit?usp=sharing"",""ยโสธร!M358"")"),35910)</f>
        <v>35910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IFERROR(__xludf.DUMMYFUNCTION("IMPORTRANGE(""https://docs.google.com/spreadsheets/d/1XL5vhW3sbDhbH9Cz0tuDiY8C3ctxq1tqvaCgkFb8cCA/edit?usp=sharing"",""ยโสธร!I359"")"),46348)</f>
        <v>46348</v>
      </c>
      <c r="J464" s="267">
        <f ca="1">IFERROR(__xludf.DUMMYFUNCTION("IMPORTRANGE(""https://docs.google.com/spreadsheets/d/1XL5vhW3sbDhbH9Cz0tuDiY8C3ctxq1tqvaCgkFb8cCA/edit?usp=sharing"",""ยโสธร!J359"")"),0)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IFERROR(__xludf.DUMMYFUNCTION("IMPORTRANGE(""https://docs.google.com/spreadsheets/d/1XL5vhW3sbDhbH9Cz0tuDiY8C3ctxq1tqvaCgkFb8cCA/edit?usp=sharing"",""ยโสธร!I360"")"),46348)</f>
        <v>46348</v>
      </c>
      <c r="J465" s="420">
        <f ca="1">IFERROR(__xludf.DUMMYFUNCTION("IMPORTRANGE(""https://docs.google.com/spreadsheets/d/1XL5vhW3sbDhbH9Cz0tuDiY8C3ctxq1tqvaCgkFb8cCA/edit?usp=sharing"",""ยโสธร!J360"")"),46327)</f>
        <v>46327</v>
      </c>
      <c r="K465" s="202">
        <f t="shared" ca="1" si="117"/>
        <v>99.9546906015362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IFERROR(__xludf.DUMMYFUNCTION("IMPORTRANGE(""https://docs.google.com/spreadsheets/d/1XL5vhW3sbDhbH9Cz0tuDiY8C3ctxq1tqvaCgkFb8cCA/edit?usp=sharing"",""ยโสธร!I361"")"),4858)</f>
        <v>4858</v>
      </c>
      <c r="J466" s="420">
        <f ca="1">IFERROR(__xludf.DUMMYFUNCTION("IMPORTRANGE(""https://docs.google.com/spreadsheets/d/1XL5vhW3sbDhbH9Cz0tuDiY8C3ctxq1tqvaCgkFb8cCA/edit?usp=sharing"",""ยโสธร!J361"")"),4858)</f>
        <v>4858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IFERROR(__xludf.DUMMYFUNCTION("IMPORTRANGE(""https://docs.google.com/spreadsheets/d/1XL5vhW3sbDhbH9Cz0tuDiY8C3ctxq1tqvaCgkFb8cCA/edit?usp=sharing"",""ยโสธร!I362"")"),0)</f>
        <v>0</v>
      </c>
      <c r="J467" s="189">
        <f ca="1">IFERROR(__xludf.DUMMYFUNCTION("IMPORTRANGE(""https://docs.google.com/spreadsheets/d/1XL5vhW3sbDhbH9Cz0tuDiY8C3ctxq1tqvaCgkFb8cCA/edit?usp=sharing"",""ยโสธร!J362"")"),34786)</f>
        <v>34786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IFERROR(__xludf.DUMMYFUNCTION("IMPORTRANGE(""https://docs.google.com/spreadsheets/d/1XL5vhW3sbDhbH9Cz0tuDiY8C3ctxq1tqvaCgkFb8cCA/edit?usp=sharing"",""ยโสธร!I363"")"),0)</f>
        <v>0</v>
      </c>
      <c r="J468" s="189">
        <f ca="1">IFERROR(__xludf.DUMMYFUNCTION("IMPORTRANGE(""https://docs.google.com/spreadsheets/d/1XL5vhW3sbDhbH9Cz0tuDiY8C3ctxq1tqvaCgkFb8cCA/edit?usp=sharing"",""ยโสธร!J363"")"),3976)</f>
        <v>3976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IFERROR(__xludf.DUMMYFUNCTION("IMPORTRANGE(""https://docs.google.com/spreadsheets/d/1XL5vhW3sbDhbH9Cz0tuDiY8C3ctxq1tqvaCgkFb8cCA/edit?usp=sharing"",""ยโสธร!I364"")"),0)</f>
        <v>0</v>
      </c>
      <c r="J469" s="189">
        <f ca="1">IFERROR(__xludf.DUMMYFUNCTION("IMPORTRANGE(""https://docs.google.com/spreadsheets/d/1XL5vhW3sbDhbH9Cz0tuDiY8C3ctxq1tqvaCgkFb8cCA/edit?usp=sharing"",""ยโสธร!J364"")"),10837)</f>
        <v>10837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IFERROR(__xludf.DUMMYFUNCTION("IMPORTRANGE(""https://docs.google.com/spreadsheets/d/1XL5vhW3sbDhbH9Cz0tuDiY8C3ctxq1tqvaCgkFb8cCA/edit?usp=sharing"",""ยโสธร!I365"")"),0)</f>
        <v>0</v>
      </c>
      <c r="J470" s="189">
        <f ca="1">IFERROR(__xludf.DUMMYFUNCTION("IMPORTRANGE(""https://docs.google.com/spreadsheets/d/1XL5vhW3sbDhbH9Cz0tuDiY8C3ctxq1tqvaCgkFb8cCA/edit?usp=sharing"",""ยโสธร!J365"")"),820)</f>
        <v>820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IFERROR(__xludf.DUMMYFUNCTION("IMPORTRANGE(""https://docs.google.com/spreadsheets/d/1XL5vhW3sbDhbH9Cz0tuDiY8C3ctxq1tqvaCgkFb8cCA/edit?usp=sharing"",""ยโสธร!I366"")"),0)</f>
        <v>0</v>
      </c>
      <c r="J471" s="189">
        <f ca="1">IFERROR(__xludf.DUMMYFUNCTION("IMPORTRANGE(""https://docs.google.com/spreadsheets/d/1XL5vhW3sbDhbH9Cz0tuDiY8C3ctxq1tqvaCgkFb8cCA/edit?usp=sharing"",""ยโสธร!J366"")"),704)</f>
        <v>704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IFERROR(__xludf.DUMMYFUNCTION("IMPORTRANGE(""https://docs.google.com/spreadsheets/d/1XL5vhW3sbDhbH9Cz0tuDiY8C3ctxq1tqvaCgkFb8cCA/edit?usp=sharing"",""ยโสธร!I367"")"),0)</f>
        <v>0</v>
      </c>
      <c r="J472" s="189">
        <f ca="1">IFERROR(__xludf.DUMMYFUNCTION("IMPORTRANGE(""https://docs.google.com/spreadsheets/d/1XL5vhW3sbDhbH9Cz0tuDiY8C3ctxq1tqvaCgkFb8cCA/edit?usp=sharing"",""ยโสธร!J367"")"),62)</f>
        <v>62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IFERROR(__xludf.DUMMYFUNCTION("IMPORTRANGE(""https://docs.google.com/spreadsheets/d/1XL5vhW3sbDhbH9Cz0tuDiY8C3ctxq1tqvaCgkFb8cCA/edit?usp=sharing"",""ยโสธร!I368"")"),46348)</f>
        <v>46348</v>
      </c>
      <c r="J473" s="420">
        <f ca="1">IFERROR(__xludf.DUMMYFUNCTION("IMPORTRANGE(""https://docs.google.com/spreadsheets/d/1XL5vhW3sbDhbH9Cz0tuDiY8C3ctxq1tqvaCgkFb8cCA/edit?usp=sharing"",""ยโสธร!J368"")"),46327)</f>
        <v>46327</v>
      </c>
      <c r="K473" s="202">
        <f t="shared" ca="1" si="117"/>
        <v>99.9546906015362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IFERROR(__xludf.DUMMYFUNCTION("IMPORTRANGE(""https://docs.google.com/spreadsheets/d/1XL5vhW3sbDhbH9Cz0tuDiY8C3ctxq1tqvaCgkFb8cCA/edit?usp=sharing"",""ยโสธร!I369"")"),4858)</f>
        <v>4858</v>
      </c>
      <c r="J474" s="420">
        <f ca="1">IFERROR(__xludf.DUMMYFUNCTION("IMPORTRANGE(""https://docs.google.com/spreadsheets/d/1XL5vhW3sbDhbH9Cz0tuDiY8C3ctxq1tqvaCgkFb8cCA/edit?usp=sharing"",""ยโสธร!J369"")"),4858)</f>
        <v>4858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IFERROR(__xludf.DUMMYFUNCTION("IMPORTRANGE(""https://docs.google.com/spreadsheets/d/1XL5vhW3sbDhbH9Cz0tuDiY8C3ctxq1tqvaCgkFb8cCA/edit?usp=sharing"",""ยโสธร!I370"")"),0)</f>
        <v>0</v>
      </c>
      <c r="J475" s="189">
        <f ca="1">IFERROR(__xludf.DUMMYFUNCTION("IMPORTRANGE(""https://docs.google.com/spreadsheets/d/1XL5vhW3sbDhbH9Cz0tuDiY8C3ctxq1tqvaCgkFb8cCA/edit?usp=sharing"",""ยโสธร!J370"")"),44435)</f>
        <v>44435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IFERROR(__xludf.DUMMYFUNCTION("IMPORTRANGE(""https://docs.google.com/spreadsheets/d/1XL5vhW3sbDhbH9Cz0tuDiY8C3ctxq1tqvaCgkFb8cCA/edit?usp=sharing"",""ยโสธร!I371"")"),0)</f>
        <v>0</v>
      </c>
      <c r="J476" s="189">
        <f ca="1">IFERROR(__xludf.DUMMYFUNCTION("IMPORTRANGE(""https://docs.google.com/spreadsheets/d/1XL5vhW3sbDhbH9Cz0tuDiY8C3ctxq1tqvaCgkFb8cCA/edit?usp=sharing"",""ยโสธร!J371"")"),4709)</f>
        <v>4709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IFERROR(__xludf.DUMMYFUNCTION("IMPORTRANGE(""https://docs.google.com/spreadsheets/d/1XL5vhW3sbDhbH9Cz0tuDiY8C3ctxq1tqvaCgkFb8cCA/edit?usp=sharing"",""ยโสธร!I372"")"),0)</f>
        <v>0</v>
      </c>
      <c r="J477" s="189">
        <f ca="1">IFERROR(__xludf.DUMMYFUNCTION("IMPORTRANGE(""https://docs.google.com/spreadsheets/d/1XL5vhW3sbDhbH9Cz0tuDiY8C3ctxq1tqvaCgkFb8cCA/edit?usp=sharing"",""ยโสธร!J372"")"),1183)</f>
        <v>1183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IFERROR(__xludf.DUMMYFUNCTION("IMPORTRANGE(""https://docs.google.com/spreadsheets/d/1XL5vhW3sbDhbH9Cz0tuDiY8C3ctxq1tqvaCgkFb8cCA/edit?usp=sharing"",""ยโสธร!I373"")"),0)</f>
        <v>0</v>
      </c>
      <c r="J478" s="189">
        <f ca="1">IFERROR(__xludf.DUMMYFUNCTION("IMPORTRANGE(""https://docs.google.com/spreadsheets/d/1XL5vhW3sbDhbH9Cz0tuDiY8C3ctxq1tqvaCgkFb8cCA/edit?usp=sharing"",""ยโสธร!J373"")"),86)</f>
        <v>86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IFERROR(__xludf.DUMMYFUNCTION("IMPORTRANGE(""https://docs.google.com/spreadsheets/d/1XL5vhW3sbDhbH9Cz0tuDiY8C3ctxq1tqvaCgkFb8cCA/edit?usp=sharing"",""ยโสธร!I374"")"),0)</f>
        <v>0</v>
      </c>
      <c r="J479" s="189">
        <f ca="1">IFERROR(__xludf.DUMMYFUNCTION("IMPORTRANGE(""https://docs.google.com/spreadsheets/d/1XL5vhW3sbDhbH9Cz0tuDiY8C3ctxq1tqvaCgkFb8cCA/edit?usp=sharing"",""ยโสธร!J374"")"),709)</f>
        <v>709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IFERROR(__xludf.DUMMYFUNCTION("IMPORTRANGE(""https://docs.google.com/spreadsheets/d/1XL5vhW3sbDhbH9Cz0tuDiY8C3ctxq1tqvaCgkFb8cCA/edit?usp=sharing"",""ยโสธร!I375"")"),0)</f>
        <v>0</v>
      </c>
      <c r="J480" s="189">
        <f ca="1">IFERROR(__xludf.DUMMYFUNCTION("IMPORTRANGE(""https://docs.google.com/spreadsheets/d/1XL5vhW3sbDhbH9Cz0tuDiY8C3ctxq1tqvaCgkFb8cCA/edit?usp=sharing"",""ยโสธร!J375"")"),63)</f>
        <v>63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IFERROR(__xludf.DUMMYFUNCTION("IMPORTRANGE(""https://docs.google.com/spreadsheets/d/1XL5vhW3sbDhbH9Cz0tuDiY8C3ctxq1tqvaCgkFb8cCA/edit?usp=sharing"",""ยโสธร!I376"")"),46348)</f>
        <v>46348</v>
      </c>
      <c r="J481" s="420">
        <f ca="1">IFERROR(__xludf.DUMMYFUNCTION("IMPORTRANGE(""https://docs.google.com/spreadsheets/d/1XL5vhW3sbDhbH9Cz0tuDiY8C3ctxq1tqvaCgkFb8cCA/edit?usp=sharing"",""ยโสธร!J376"")"),0)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IFERROR(__xludf.DUMMYFUNCTION("IMPORTRANGE(""https://docs.google.com/spreadsheets/d/1XL5vhW3sbDhbH9Cz0tuDiY8C3ctxq1tqvaCgkFb8cCA/edit?usp=sharing"",""ยโสธร!I377"")"),4858)</f>
        <v>4858</v>
      </c>
      <c r="J482" s="420">
        <f ca="1">IFERROR(__xludf.DUMMYFUNCTION("IMPORTRANGE(""https://docs.google.com/spreadsheets/d/1XL5vhW3sbDhbH9Cz0tuDiY8C3ctxq1tqvaCgkFb8cCA/edit?usp=sharing"",""ยโสธร!J377"")"),0)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IFERROR(__xludf.DUMMYFUNCTION("IMPORTRANGE(""https://docs.google.com/spreadsheets/d/1XL5vhW3sbDhbH9Cz0tuDiY8C3ctxq1tqvaCgkFb8cCA/edit?usp=sharing"",""ยโสธร!I378"")"),0)</f>
        <v>0</v>
      </c>
      <c r="J483" s="189">
        <f ca="1">IFERROR(__xludf.DUMMYFUNCTION("IMPORTRANGE(""https://docs.google.com/spreadsheets/d/1XL5vhW3sbDhbH9Cz0tuDiY8C3ctxq1tqvaCgkFb8cCA/edit?usp=sharing"",""ยโสธร!J378"")"),0)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IFERROR(__xludf.DUMMYFUNCTION("IMPORTRANGE(""https://docs.google.com/spreadsheets/d/1XL5vhW3sbDhbH9Cz0tuDiY8C3ctxq1tqvaCgkFb8cCA/edit?usp=sharing"",""ยโสธร!I379"")"),0)</f>
        <v>0</v>
      </c>
      <c r="J484" s="189">
        <f ca="1">IFERROR(__xludf.DUMMYFUNCTION("IMPORTRANGE(""https://docs.google.com/spreadsheets/d/1XL5vhW3sbDhbH9Cz0tuDiY8C3ctxq1tqvaCgkFb8cCA/edit?usp=sharing"",""ยโสธร!J379"")"),0)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IFERROR(__xludf.DUMMYFUNCTION("IMPORTRANGE(""https://docs.google.com/spreadsheets/d/1XL5vhW3sbDhbH9Cz0tuDiY8C3ctxq1tqvaCgkFb8cCA/edit?usp=sharing"",""ยโสธร!I380"")"),0)</f>
        <v>0</v>
      </c>
      <c r="J485" s="189">
        <f ca="1">IFERROR(__xludf.DUMMYFUNCTION("IMPORTRANGE(""https://docs.google.com/spreadsheets/d/1XL5vhW3sbDhbH9Cz0tuDiY8C3ctxq1tqvaCgkFb8cCA/edit?usp=sharing"",""ยโสธร!J380"")"),0)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IFERROR(__xludf.DUMMYFUNCTION("IMPORTRANGE(""https://docs.google.com/spreadsheets/d/1XL5vhW3sbDhbH9Cz0tuDiY8C3ctxq1tqvaCgkFb8cCA/edit?usp=sharing"",""ยโสธร!I381"")"),0)</f>
        <v>0</v>
      </c>
      <c r="J486" s="189">
        <f ca="1">IFERROR(__xludf.DUMMYFUNCTION("IMPORTRANGE(""https://docs.google.com/spreadsheets/d/1XL5vhW3sbDhbH9Cz0tuDiY8C3ctxq1tqvaCgkFb8cCA/edit?usp=sharing"",""ยโสธร!J381"")"),0)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IFERROR(__xludf.DUMMYFUNCTION("IMPORTRANGE(""https://docs.google.com/spreadsheets/d/1XL5vhW3sbDhbH9Cz0tuDiY8C3ctxq1tqvaCgkFb8cCA/edit?usp=sharing"",""ยโสธร!I382"")"),0)</f>
        <v>0</v>
      </c>
      <c r="J487" s="420">
        <f ca="1">IFERROR(__xludf.DUMMYFUNCTION("IMPORTRANGE(""https://docs.google.com/spreadsheets/d/1XL5vhW3sbDhbH9Cz0tuDiY8C3ctxq1tqvaCgkFb8cCA/edit?usp=sharing"",""ยโสธร!J382"")"),0)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IFERROR(__xludf.DUMMYFUNCTION("IMPORTRANGE(""https://docs.google.com/spreadsheets/d/1XL5vhW3sbDhbH9Cz0tuDiY8C3ctxq1tqvaCgkFb8cCA/edit?usp=sharing"",""ยโสธร!I383"")"),0)</f>
        <v>0</v>
      </c>
      <c r="J488" s="420">
        <f ca="1">IFERROR(__xludf.DUMMYFUNCTION("IMPORTRANGE(""https://docs.google.com/spreadsheets/d/1XL5vhW3sbDhbH9Cz0tuDiY8C3ctxq1tqvaCgkFb8cCA/edit?usp=sharing"",""ยโสธร!J383"")"),0)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IFERROR(__xludf.DUMMYFUNCTION("IMPORTRANGE(""https://docs.google.com/spreadsheets/d/1XL5vhW3sbDhbH9Cz0tuDiY8C3ctxq1tqvaCgkFb8cCA/edit?usp=sharing"",""ยโสธร!I384"")"),0)</f>
        <v>0</v>
      </c>
      <c r="J489" s="189">
        <f ca="1">IFERROR(__xludf.DUMMYFUNCTION("IMPORTRANGE(""https://docs.google.com/spreadsheets/d/1XL5vhW3sbDhbH9Cz0tuDiY8C3ctxq1tqvaCgkFb8cCA/edit?usp=sharing"",""ยโสธร!J384"")"),0)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IFERROR(__xludf.DUMMYFUNCTION("IMPORTRANGE(""https://docs.google.com/spreadsheets/d/1XL5vhW3sbDhbH9Cz0tuDiY8C3ctxq1tqvaCgkFb8cCA/edit?usp=sharing"",""ยโสธร!I385"")"),0)</f>
        <v>0</v>
      </c>
      <c r="J490" s="189">
        <f ca="1">IFERROR(__xludf.DUMMYFUNCTION("IMPORTRANGE(""https://docs.google.com/spreadsheets/d/1XL5vhW3sbDhbH9Cz0tuDiY8C3ctxq1tqvaCgkFb8cCA/edit?usp=sharing"",""ยโสธร!J385"")"),0)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IFERROR(__xludf.DUMMYFUNCTION("IMPORTRANGE(""https://docs.google.com/spreadsheets/d/1XL5vhW3sbDhbH9Cz0tuDiY8C3ctxq1tqvaCgkFb8cCA/edit?usp=sharing"",""ยโสธร!I386"")"),0)</f>
        <v>0</v>
      </c>
      <c r="J491" s="189">
        <f ca="1">IFERROR(__xludf.DUMMYFUNCTION("IMPORTRANGE(""https://docs.google.com/spreadsheets/d/1XL5vhW3sbDhbH9Cz0tuDiY8C3ctxq1tqvaCgkFb8cCA/edit?usp=sharing"",""ยโสธร!J386"")"),0)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IFERROR(__xludf.DUMMYFUNCTION("IMPORTRANGE(""https://docs.google.com/spreadsheets/d/1XL5vhW3sbDhbH9Cz0tuDiY8C3ctxq1tqvaCgkFb8cCA/edit?usp=sharing"",""ยโสธร!I387"")"),0)</f>
        <v>0</v>
      </c>
      <c r="J492" s="189">
        <f ca="1">IFERROR(__xludf.DUMMYFUNCTION("IMPORTRANGE(""https://docs.google.com/spreadsheets/d/1XL5vhW3sbDhbH9Cz0tuDiY8C3ctxq1tqvaCgkFb8cCA/edit?usp=sharing"",""ยโสธร!J387"")"),0)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IFERROR(__xludf.DUMMYFUNCTION("IMPORTRANGE(""https://docs.google.com/spreadsheets/d/1XL5vhW3sbDhbH9Cz0tuDiY8C3ctxq1tqvaCgkFb8cCA/edit?usp=sharing"",""ยโสธร!I388"")"),0)</f>
        <v>0</v>
      </c>
      <c r="J493" s="189">
        <f ca="1">IFERROR(__xludf.DUMMYFUNCTION("IMPORTRANGE(""https://docs.google.com/spreadsheets/d/1XL5vhW3sbDhbH9Cz0tuDiY8C3ctxq1tqvaCgkFb8cCA/edit?usp=sharing"",""ยโสธร!J388"")"),0)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IFERROR(__xludf.DUMMYFUNCTION("IMPORTRANGE(""https://docs.google.com/spreadsheets/d/1XL5vhW3sbDhbH9Cz0tuDiY8C3ctxq1tqvaCgkFb8cCA/edit?usp=sharing"",""ยโสธร!I389"")"),0)</f>
        <v>0</v>
      </c>
      <c r="J494" s="436">
        <f ca="1">IFERROR(__xludf.DUMMYFUNCTION("IMPORTRANGE(""https://docs.google.com/spreadsheets/d/1XL5vhW3sbDhbH9Cz0tuDiY8C3ctxq1tqvaCgkFb8cCA/edit?usp=sharing"",""ยโสธร!J389"")"),0)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IFERROR(__xludf.DUMMYFUNCTION("IMPORTRANGE(""https://docs.google.com/spreadsheets/d/1XL5vhW3sbDhbH9Cz0tuDiY8C3ctxq1tqvaCgkFb8cCA/edit?usp=sharing"",""ยโสธร!I390"")"),0)</f>
        <v>0</v>
      </c>
      <c r="J495" s="436">
        <f ca="1">IFERROR(__xludf.DUMMYFUNCTION("IMPORTRANGE(""https://docs.google.com/spreadsheets/d/1XL5vhW3sbDhbH9Cz0tuDiY8C3ctxq1tqvaCgkFb8cCA/edit?usp=sharing"",""ยโสธร!J390"")"),0)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IFERROR(__xludf.DUMMYFUNCTION("IMPORTRANGE(""https://docs.google.com/spreadsheets/d/1XL5vhW3sbDhbH9Cz0tuDiY8C3ctxq1tqvaCgkFb8cCA/edit?usp=sharing"",""ยโสธร!I391"")"),0)</f>
        <v>0</v>
      </c>
      <c r="J496" s="436">
        <f ca="1">IFERROR(__xludf.DUMMYFUNCTION("IMPORTRANGE(""https://docs.google.com/spreadsheets/d/1XL5vhW3sbDhbH9Cz0tuDiY8C3ctxq1tqvaCgkFb8cCA/edit?usp=sharing"",""ยโสธร!J391"")"),0)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IFERROR(__xludf.DUMMYFUNCTION("IMPORTRANGE(""https://docs.google.com/spreadsheets/d/1XL5vhW3sbDhbH9Cz0tuDiY8C3ctxq1tqvaCgkFb8cCA/edit?usp=sharing"",""ยโสธร!I392"")"),1563)</f>
        <v>1563</v>
      </c>
      <c r="J497" s="443">
        <f ca="1">IFERROR(__xludf.DUMMYFUNCTION("IMPORTRANGE(""https://docs.google.com/spreadsheets/d/1XL5vhW3sbDhbH9Cz0tuDiY8C3ctxq1tqvaCgkFb8cCA/edit?usp=sharing"",""ยโสธร!J392"")"),0)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IFERROR(__xludf.DUMMYFUNCTION("IMPORTRANGE(""https://docs.google.com/spreadsheets/d/1XL5vhW3sbDhbH9Cz0tuDiY8C3ctxq1tqvaCgkFb8cCA/edit?usp=sharing"",""ยโสธร!I393"")"),1563)</f>
        <v>1563</v>
      </c>
      <c r="J498" s="420">
        <f ca="1">IFERROR(__xludf.DUMMYFUNCTION("IMPORTRANGE(""https://docs.google.com/spreadsheets/d/1XL5vhW3sbDhbH9Cz0tuDiY8C3ctxq1tqvaCgkFb8cCA/edit?usp=sharing"",""ยโสธร!J393"")"),0)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IFERROR(__xludf.DUMMYFUNCTION("IMPORTRANGE(""https://docs.google.com/spreadsheets/d/1XL5vhW3sbDhbH9Cz0tuDiY8C3ctxq1tqvaCgkFb8cCA/edit?usp=sharing"",""ยโสธร!I394"")"),128)</f>
        <v>128</v>
      </c>
      <c r="J499" s="420">
        <f ca="1">IFERROR(__xludf.DUMMYFUNCTION("IMPORTRANGE(""https://docs.google.com/spreadsheets/d/1XL5vhW3sbDhbH9Cz0tuDiY8C3ctxq1tqvaCgkFb8cCA/edit?usp=sharing"",""ยโสธร!J394"")"),0)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IFERROR(__xludf.DUMMYFUNCTION("IMPORTRANGE(""https://docs.google.com/spreadsheets/d/1XL5vhW3sbDhbH9Cz0tuDiY8C3ctxq1tqvaCgkFb8cCA/edit?usp=sharing"",""ยโสธร!I395"")"),0)</f>
        <v>0</v>
      </c>
      <c r="J500" s="162">
        <f ca="1">IFERROR(__xludf.DUMMYFUNCTION("IMPORTRANGE(""https://docs.google.com/spreadsheets/d/1XL5vhW3sbDhbH9Cz0tuDiY8C3ctxq1tqvaCgkFb8cCA/edit?usp=sharing"",""ยโสธร!J395"")"),0)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IFERROR(__xludf.DUMMYFUNCTION("IMPORTRANGE(""https://docs.google.com/spreadsheets/d/1XL5vhW3sbDhbH9Cz0tuDiY8C3ctxq1tqvaCgkFb8cCA/edit?usp=sharing"",""ยโสธร!I396"")"),0)</f>
        <v>0</v>
      </c>
      <c r="J501" s="162">
        <f ca="1">IFERROR(__xludf.DUMMYFUNCTION("IMPORTRANGE(""https://docs.google.com/spreadsheets/d/1XL5vhW3sbDhbH9Cz0tuDiY8C3ctxq1tqvaCgkFb8cCA/edit?usp=sharing"",""ยโสธร!J396"")"),0)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IFERROR(__xludf.DUMMYFUNCTION("IMPORTRANGE(""https://docs.google.com/spreadsheets/d/1XL5vhW3sbDhbH9Cz0tuDiY8C3ctxq1tqvaCgkFb8cCA/edit?usp=sharing"",""ยโสธร!I397"")"),0)</f>
        <v>0</v>
      </c>
      <c r="J502" s="189">
        <f ca="1">IFERROR(__xludf.DUMMYFUNCTION("IMPORTRANGE(""https://docs.google.com/spreadsheets/d/1XL5vhW3sbDhbH9Cz0tuDiY8C3ctxq1tqvaCgkFb8cCA/edit?usp=sharing"",""ยโสธร!J397"")"),0)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IFERROR(__xludf.DUMMYFUNCTION("IMPORTRANGE(""https://docs.google.com/spreadsheets/d/1XL5vhW3sbDhbH9Cz0tuDiY8C3ctxq1tqvaCgkFb8cCA/edit?usp=sharing"",""ยโสธร!I398"")"),0)</f>
        <v>0</v>
      </c>
      <c r="J503" s="198">
        <f ca="1">IFERROR(__xludf.DUMMYFUNCTION("IMPORTRANGE(""https://docs.google.com/spreadsheets/d/1XL5vhW3sbDhbH9Cz0tuDiY8C3ctxq1tqvaCgkFb8cCA/edit?usp=sharing"",""ยโสธร!J398"")"),0)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IFERROR(__xludf.DUMMYFUNCTION("IMPORTRANGE(""https://docs.google.com/spreadsheets/d/1XL5vhW3sbDhbH9Cz0tuDiY8C3ctxq1tqvaCgkFb8cCA/edit?usp=sharing"",""ยโสธร!I399"")"),0)</f>
        <v>0</v>
      </c>
      <c r="J504" s="189">
        <f ca="1">IFERROR(__xludf.DUMMYFUNCTION("IMPORTRANGE(""https://docs.google.com/spreadsheets/d/1XL5vhW3sbDhbH9Cz0tuDiY8C3ctxq1tqvaCgkFb8cCA/edit?usp=sharing"",""ยโสธร!J399"")"),0)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IFERROR(__xludf.DUMMYFUNCTION("IMPORTRANGE(""https://docs.google.com/spreadsheets/d/1XL5vhW3sbDhbH9Cz0tuDiY8C3ctxq1tqvaCgkFb8cCA/edit?usp=sharing"",""ยโสธร!I400"")"),0)</f>
        <v>0</v>
      </c>
      <c r="J505" s="198">
        <f ca="1">IFERROR(__xludf.DUMMYFUNCTION("IMPORTRANGE(""https://docs.google.com/spreadsheets/d/1XL5vhW3sbDhbH9Cz0tuDiY8C3ctxq1tqvaCgkFb8cCA/edit?usp=sharing"",""ยโสธร!J400"")"),0)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IFERROR(__xludf.DUMMYFUNCTION("IMPORTRANGE(""https://docs.google.com/spreadsheets/d/1XL5vhW3sbDhbH9Cz0tuDiY8C3ctxq1tqvaCgkFb8cCA/edit?usp=sharing"",""ยโสธร!I401"")"),0)</f>
        <v>0</v>
      </c>
      <c r="J506" s="189">
        <f ca="1">IFERROR(__xludf.DUMMYFUNCTION("IMPORTRANGE(""https://docs.google.com/spreadsheets/d/1XL5vhW3sbDhbH9Cz0tuDiY8C3ctxq1tqvaCgkFb8cCA/edit?usp=sharing"",""ยโสธร!J401"")"),0)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IFERROR(__xludf.DUMMYFUNCTION("IMPORTRANGE(""https://docs.google.com/spreadsheets/d/1XL5vhW3sbDhbH9Cz0tuDiY8C3ctxq1tqvaCgkFb8cCA/edit?usp=sharing"",""ยโสธร!I402"")"),0)</f>
        <v>0</v>
      </c>
      <c r="J507" s="198">
        <f ca="1">IFERROR(__xludf.DUMMYFUNCTION("IMPORTRANGE(""https://docs.google.com/spreadsheets/d/1XL5vhW3sbDhbH9Cz0tuDiY8C3ctxq1tqvaCgkFb8cCA/edit?usp=sharing"",""ยโสธร!J402"")"),0)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IFERROR(__xludf.DUMMYFUNCTION("IMPORTRANGE(""https://docs.google.com/spreadsheets/d/1XL5vhW3sbDhbH9Cz0tuDiY8C3ctxq1tqvaCgkFb8cCA/edit?usp=sharing"",""ยโสธร!I403"")"),0)</f>
        <v>0</v>
      </c>
      <c r="J508" s="162">
        <f ca="1">IFERROR(__xludf.DUMMYFUNCTION("IMPORTRANGE(""https://docs.google.com/spreadsheets/d/1XL5vhW3sbDhbH9Cz0tuDiY8C3ctxq1tqvaCgkFb8cCA/edit?usp=sharing"",""ยโสธร!J403"")"),0)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IFERROR(__xludf.DUMMYFUNCTION("IMPORTRANGE(""https://docs.google.com/spreadsheets/d/1XL5vhW3sbDhbH9Cz0tuDiY8C3ctxq1tqvaCgkFb8cCA/edit?usp=sharing"",""ยโสธร!I404"")"),0)</f>
        <v>0</v>
      </c>
      <c r="J509" s="162">
        <f ca="1">IFERROR(__xludf.DUMMYFUNCTION("IMPORTRANGE(""https://docs.google.com/spreadsheets/d/1XL5vhW3sbDhbH9Cz0tuDiY8C3ctxq1tqvaCgkFb8cCA/edit?usp=sharing"",""ยโสธร!J404"")"),0)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IFERROR(__xludf.DUMMYFUNCTION("IMPORTRANGE(""https://docs.google.com/spreadsheets/d/1XL5vhW3sbDhbH9Cz0tuDiY8C3ctxq1tqvaCgkFb8cCA/edit?usp=sharing"",""ยโสธร!I405"")"),0)</f>
        <v>0</v>
      </c>
      <c r="J510" s="198">
        <f ca="1">IFERROR(__xludf.DUMMYFUNCTION("IMPORTRANGE(""https://docs.google.com/spreadsheets/d/1XL5vhW3sbDhbH9Cz0tuDiY8C3ctxq1tqvaCgkFb8cCA/edit?usp=sharing"",""ยโสธร!J405"")"),0)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IFERROR(__xludf.DUMMYFUNCTION("IMPORTRANGE(""https://docs.google.com/spreadsheets/d/1XL5vhW3sbDhbH9Cz0tuDiY8C3ctxq1tqvaCgkFb8cCA/edit?usp=sharing"",""ยโสธร!I406"")"),0)</f>
        <v>0</v>
      </c>
      <c r="J511" s="198">
        <f ca="1">IFERROR(__xludf.DUMMYFUNCTION("IMPORTRANGE(""https://docs.google.com/spreadsheets/d/1XL5vhW3sbDhbH9Cz0tuDiY8C3ctxq1tqvaCgkFb8cCA/edit?usp=sharing"",""ยโสธร!J406"")"),0)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IFERROR(__xludf.DUMMYFUNCTION("IMPORTRANGE(""https://docs.google.com/spreadsheets/d/1XL5vhW3sbDhbH9Cz0tuDiY8C3ctxq1tqvaCgkFb8cCA/edit?usp=sharing"",""ยโสธร!I407"")"),0)</f>
        <v>0</v>
      </c>
      <c r="J512" s="198">
        <f ca="1">IFERROR(__xludf.DUMMYFUNCTION("IMPORTRANGE(""https://docs.google.com/spreadsheets/d/1XL5vhW3sbDhbH9Cz0tuDiY8C3ctxq1tqvaCgkFb8cCA/edit?usp=sharing"",""ยโสธร!J407"")"),0)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IFERROR(__xludf.DUMMYFUNCTION("IMPORTRANGE(""https://docs.google.com/spreadsheets/d/1XL5vhW3sbDhbH9Cz0tuDiY8C3ctxq1tqvaCgkFb8cCA/edit?usp=sharing"",""ยโสธร!I408"")"),0)</f>
        <v>0</v>
      </c>
      <c r="J513" s="198">
        <f ca="1">IFERROR(__xludf.DUMMYFUNCTION("IMPORTRANGE(""https://docs.google.com/spreadsheets/d/1XL5vhW3sbDhbH9Cz0tuDiY8C3ctxq1tqvaCgkFb8cCA/edit?usp=sharing"",""ยโสธร!J408"")"),0)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IFERROR(__xludf.DUMMYFUNCTION("IMPORTRANGE(""https://docs.google.com/spreadsheets/d/1XL5vhW3sbDhbH9Cz0tuDiY8C3ctxq1tqvaCgkFb8cCA/edit?usp=sharing"",""ยโสธร!I409"")"),0)</f>
        <v>0</v>
      </c>
      <c r="J514" s="198">
        <f ca="1">IFERROR(__xludf.DUMMYFUNCTION("IMPORTRANGE(""https://docs.google.com/spreadsheets/d/1XL5vhW3sbDhbH9Cz0tuDiY8C3ctxq1tqvaCgkFb8cCA/edit?usp=sharing"",""ยโสธร!J409"")"),0)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IFERROR(__xludf.DUMMYFUNCTION("IMPORTRANGE(""https://docs.google.com/spreadsheets/d/1XL5vhW3sbDhbH9Cz0tuDiY8C3ctxq1tqvaCgkFb8cCA/edit?usp=sharing"",""ยโสธร!I410"")"),0)</f>
        <v>0</v>
      </c>
      <c r="J515" s="198">
        <f ca="1">IFERROR(__xludf.DUMMYFUNCTION("IMPORTRANGE(""https://docs.google.com/spreadsheets/d/1XL5vhW3sbDhbH9Cz0tuDiY8C3ctxq1tqvaCgkFb8cCA/edit?usp=sharing"",""ยโสธร!J410"")"),0)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IFERROR(__xludf.DUMMYFUNCTION("IMPORTRANGE(""https://docs.google.com/spreadsheets/d/1XL5vhW3sbDhbH9Cz0tuDiY8C3ctxq1tqvaCgkFb8cCA/edit?usp=sharing"",""ยโสธร!I411"")"),0)</f>
        <v>0</v>
      </c>
      <c r="J516" s="267">
        <f ca="1">IFERROR(__xludf.DUMMYFUNCTION("IMPORTRANGE(""https://docs.google.com/spreadsheets/d/1XL5vhW3sbDhbH9Cz0tuDiY8C3ctxq1tqvaCgkFb8cCA/edit?usp=sharing"",""ยโสธร!J411"")"),0)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IFERROR(__xludf.DUMMYFUNCTION("IMPORTRANGE(""https://docs.google.com/spreadsheets/d/1XL5vhW3sbDhbH9Cz0tuDiY8C3ctxq1tqvaCgkFb8cCA/edit?usp=sharing"",""ยโสธร!I412"")"),0)</f>
        <v>0</v>
      </c>
      <c r="J517" s="284">
        <f ca="1">IFERROR(__xludf.DUMMYFUNCTION("IMPORTRANGE(""https://docs.google.com/spreadsheets/d/1XL5vhW3sbDhbH9Cz0tuDiY8C3ctxq1tqvaCgkFb8cCA/edit?usp=sharing"",""ยโสธร!J412"")"),0)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IFERROR(__xludf.DUMMYFUNCTION("IMPORTRANGE(""https://docs.google.com/spreadsheets/d/1XL5vhW3sbDhbH9Cz0tuDiY8C3ctxq1tqvaCgkFb8cCA/edit?usp=sharing"",""ยโสธร!I413"")"),0)</f>
        <v>0</v>
      </c>
      <c r="J518" s="284">
        <f ca="1">IFERROR(__xludf.DUMMYFUNCTION("IMPORTRANGE(""https://docs.google.com/spreadsheets/d/1XL5vhW3sbDhbH9Cz0tuDiY8C3ctxq1tqvaCgkFb8cCA/edit?usp=sharing"",""ยโสธร!J413"")"),0)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IFERROR(__xludf.DUMMYFUNCTION("IMPORTRANGE(""https://docs.google.com/spreadsheets/d/1XL5vhW3sbDhbH9Cz0tuDiY8C3ctxq1tqvaCgkFb8cCA/edit?usp=sharing"",""ยโสธร!I414"")"),0)</f>
        <v>0</v>
      </c>
      <c r="J519" s="188">
        <f ca="1">IFERROR(__xludf.DUMMYFUNCTION("IMPORTRANGE(""https://docs.google.com/spreadsheets/d/1XL5vhW3sbDhbH9Cz0tuDiY8C3ctxq1tqvaCgkFb8cCA/edit?usp=sharing"",""ยโสธร!J414"")"),0)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IFERROR(__xludf.DUMMYFUNCTION("IMPORTRANGE(""https://docs.google.com/spreadsheets/d/1XL5vhW3sbDhbH9Cz0tuDiY8C3ctxq1tqvaCgkFb8cCA/edit?usp=sharing"",""ยโสธร!I415"")"),0)</f>
        <v>0</v>
      </c>
      <c r="J520" s="188">
        <f ca="1">IFERROR(__xludf.DUMMYFUNCTION("IMPORTRANGE(""https://docs.google.com/spreadsheets/d/1XL5vhW3sbDhbH9Cz0tuDiY8C3ctxq1tqvaCgkFb8cCA/edit?usp=sharing"",""ยโสธร!J415"")"),0)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IFERROR(__xludf.DUMMYFUNCTION("IMPORTRANGE(""https://docs.google.com/spreadsheets/d/1XL5vhW3sbDhbH9Cz0tuDiY8C3ctxq1tqvaCgkFb8cCA/edit?usp=sharing"",""ยโสธร!I416"")"),0)</f>
        <v>0</v>
      </c>
      <c r="J521" s="188">
        <f ca="1">IFERROR(__xludf.DUMMYFUNCTION("IMPORTRANGE(""https://docs.google.com/spreadsheets/d/1XL5vhW3sbDhbH9Cz0tuDiY8C3ctxq1tqvaCgkFb8cCA/edit?usp=sharing"",""ยโสธร!J416"")"),0)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IFERROR(__xludf.DUMMYFUNCTION("IMPORTRANGE(""https://docs.google.com/spreadsheets/d/1XL5vhW3sbDhbH9Cz0tuDiY8C3ctxq1tqvaCgkFb8cCA/edit?usp=sharing"",""ยโสธร!I417"")"),0)</f>
        <v>0</v>
      </c>
      <c r="J522" s="188">
        <f ca="1">IFERROR(__xludf.DUMMYFUNCTION("IMPORTRANGE(""https://docs.google.com/spreadsheets/d/1XL5vhW3sbDhbH9Cz0tuDiY8C3ctxq1tqvaCgkFb8cCA/edit?usp=sharing"",""ยโสธร!J417"")"),0)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IFERROR(__xludf.DUMMYFUNCTION("IMPORTRANGE(""https://docs.google.com/spreadsheets/d/1XL5vhW3sbDhbH9Cz0tuDiY8C3ctxq1tqvaCgkFb8cCA/edit?usp=sharing"",""ยโสธร!I418"")"),0)</f>
        <v>0</v>
      </c>
      <c r="J523" s="188">
        <f ca="1">IFERROR(__xludf.DUMMYFUNCTION("IMPORTRANGE(""https://docs.google.com/spreadsheets/d/1XL5vhW3sbDhbH9Cz0tuDiY8C3ctxq1tqvaCgkFb8cCA/edit?usp=sharing"",""ยโสธร!J418"")"),0)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IFERROR(__xludf.DUMMYFUNCTION("IMPORTRANGE(""https://docs.google.com/spreadsheets/d/1XL5vhW3sbDhbH9Cz0tuDiY8C3ctxq1tqvaCgkFb8cCA/edit?usp=sharing"",""ยโสธร!I419"")"),0)</f>
        <v>0</v>
      </c>
      <c r="J524" s="188">
        <f ca="1">IFERROR(__xludf.DUMMYFUNCTION("IMPORTRANGE(""https://docs.google.com/spreadsheets/d/1XL5vhW3sbDhbH9Cz0tuDiY8C3ctxq1tqvaCgkFb8cCA/edit?usp=sharing"",""ยโสธร!J419"")"),0)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IFERROR(__xludf.DUMMYFUNCTION("IMPORTRANGE(""https://docs.google.com/spreadsheets/d/1XL5vhW3sbDhbH9Cz0tuDiY8C3ctxq1tqvaCgkFb8cCA/edit?usp=sharing"",""ยโสธร!I420"")"),0)</f>
        <v>0</v>
      </c>
      <c r="J525" s="284">
        <f ca="1">IFERROR(__xludf.DUMMYFUNCTION("IMPORTRANGE(""https://docs.google.com/spreadsheets/d/1XL5vhW3sbDhbH9Cz0tuDiY8C3ctxq1tqvaCgkFb8cCA/edit?usp=sharing"",""ยโสธร!J420"")"),0)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IFERROR(__xludf.DUMMYFUNCTION("IMPORTRANGE(""https://docs.google.com/spreadsheets/d/1XL5vhW3sbDhbH9Cz0tuDiY8C3ctxq1tqvaCgkFb8cCA/edit?usp=sharing"",""ยโสธร!I421"")"),0)</f>
        <v>0</v>
      </c>
      <c r="J526" s="284">
        <f ca="1">IFERROR(__xludf.DUMMYFUNCTION("IMPORTRANGE(""https://docs.google.com/spreadsheets/d/1XL5vhW3sbDhbH9Cz0tuDiY8C3ctxq1tqvaCgkFb8cCA/edit?usp=sharing"",""ยโสธร!J421"")"),0)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IFERROR(__xludf.DUMMYFUNCTION("IMPORTRANGE(""https://docs.google.com/spreadsheets/d/1XL5vhW3sbDhbH9Cz0tuDiY8C3ctxq1tqvaCgkFb8cCA/edit?usp=sharing"",""ยโสธร!I422"")"),0)</f>
        <v>0</v>
      </c>
      <c r="J527" s="198">
        <f ca="1">IFERROR(__xludf.DUMMYFUNCTION("IMPORTRANGE(""https://docs.google.com/spreadsheets/d/1XL5vhW3sbDhbH9Cz0tuDiY8C3ctxq1tqvaCgkFb8cCA/edit?usp=sharing"",""ยโสธร!J422"")"),0)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IFERROR(__xludf.DUMMYFUNCTION("IMPORTRANGE(""https://docs.google.com/spreadsheets/d/1XL5vhW3sbDhbH9Cz0tuDiY8C3ctxq1tqvaCgkFb8cCA/edit?usp=sharing"",""ยโสธร!I423"")"),0)</f>
        <v>0</v>
      </c>
      <c r="J528" s="198">
        <f ca="1">IFERROR(__xludf.DUMMYFUNCTION("IMPORTRANGE(""https://docs.google.com/spreadsheets/d/1XL5vhW3sbDhbH9Cz0tuDiY8C3ctxq1tqvaCgkFb8cCA/edit?usp=sharing"",""ยโสธร!J423"")"),0)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IFERROR(__xludf.DUMMYFUNCTION("IMPORTRANGE(""https://docs.google.com/spreadsheets/d/1XL5vhW3sbDhbH9Cz0tuDiY8C3ctxq1tqvaCgkFb8cCA/edit?usp=sharing"",""ยโสธร!I424"")"),0)</f>
        <v>0</v>
      </c>
      <c r="J529" s="198">
        <f ca="1">IFERROR(__xludf.DUMMYFUNCTION("IMPORTRANGE(""https://docs.google.com/spreadsheets/d/1XL5vhW3sbDhbH9Cz0tuDiY8C3ctxq1tqvaCgkFb8cCA/edit?usp=sharing"",""ยโสธร!J424"")"),0)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IFERROR(__xludf.DUMMYFUNCTION("IMPORTRANGE(""https://docs.google.com/spreadsheets/d/1XL5vhW3sbDhbH9Cz0tuDiY8C3ctxq1tqvaCgkFb8cCA/edit?usp=sharing"",""ยโสธร!I425"")"),0)</f>
        <v>0</v>
      </c>
      <c r="J530" s="198">
        <f ca="1">IFERROR(__xludf.DUMMYFUNCTION("IMPORTRANGE(""https://docs.google.com/spreadsheets/d/1XL5vhW3sbDhbH9Cz0tuDiY8C3ctxq1tqvaCgkFb8cCA/edit?usp=sharing"",""ยโสธร!J425"")"),0)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IFERROR(__xludf.DUMMYFUNCTION("IMPORTRANGE(""https://docs.google.com/spreadsheets/d/1XL5vhW3sbDhbH9Cz0tuDiY8C3ctxq1tqvaCgkFb8cCA/edit?usp=sharing"",""ยโสธร!I426"")"),0)</f>
        <v>0</v>
      </c>
      <c r="J531" s="198">
        <f ca="1">IFERROR(__xludf.DUMMYFUNCTION("IMPORTRANGE(""https://docs.google.com/spreadsheets/d/1XL5vhW3sbDhbH9Cz0tuDiY8C3ctxq1tqvaCgkFb8cCA/edit?usp=sharing"",""ยโสธร!J426"")"),0)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IFERROR(__xludf.DUMMYFUNCTION("IMPORTRANGE(""https://docs.google.com/spreadsheets/d/1XL5vhW3sbDhbH9Cz0tuDiY8C3ctxq1tqvaCgkFb8cCA/edit?usp=sharing"",""ยโสธร!I427"")"),0)</f>
        <v>0</v>
      </c>
      <c r="J532" s="466">
        <f ca="1">IFERROR(__xludf.DUMMYFUNCTION("IMPORTRANGE(""https://docs.google.com/spreadsheets/d/1XL5vhW3sbDhbH9Cz0tuDiY8C3ctxq1tqvaCgkFb8cCA/edit?usp=sharing"",""ยโสธร!J427"")"),0)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IFERROR(__xludf.DUMMYFUNCTION("IMPORTRANGE(""https://docs.google.com/spreadsheets/d/1XL5vhW3sbDhbH9Cz0tuDiY8C3ctxq1tqvaCgkFb8cCA/edit?usp=sharing"",""ยโสธร!I428"")"),22)</f>
        <v>22</v>
      </c>
      <c r="J533" s="410">
        <f ca="1">IFERROR(__xludf.DUMMYFUNCTION("IMPORTRANGE(""https://docs.google.com/spreadsheets/d/1XL5vhW3sbDhbH9Cz0tuDiY8C3ctxq1tqvaCgkFb8cCA/edit?usp=sharing"",""ยโสธร!J428"")"),22)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IFERROR(__xludf.DUMMYFUNCTION("IMPORTRANGE(""https://docs.google.com/spreadsheets/d/1XL5vhW3sbDhbH9Cz0tuDiY8C3ctxq1tqvaCgkFb8cCA/edit?usp=sharing"",""ยโสธร!L428"")"),34340)</f>
        <v>34340</v>
      </c>
      <c r="M533" s="412"/>
      <c r="N533" s="412">
        <f ca="1">IFERROR(__xludf.DUMMYFUNCTION("IMPORTRANGE(""https://docs.google.com/spreadsheets/d/1XL5vhW3sbDhbH9Cz0tuDiY8C3ctxq1tqvaCgkFb8cCA/edit?usp=sharing"",""ยโสธร!M428"")"),20800)</f>
        <v>20800</v>
      </c>
      <c r="O533" s="412">
        <f t="shared" ref="O533:O537" ca="1" si="118">+IF(L533&gt;0,N533*100/L533,0)</f>
        <v>60.570762958648807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IFERROR(__xludf.DUMMYFUNCTION("IMPORTRANGE(""https://docs.google.com/spreadsheets/d/1XL5vhW3sbDhbH9Cz0tuDiY8C3ctxq1tqvaCgkFb8cCA/edit?usp=sharing"",""ยโสธร!L429"")"),0)</f>
        <v>0</v>
      </c>
      <c r="M534" s="164"/>
      <c r="N534" s="169">
        <f ca="1">IFERROR(__xludf.DUMMYFUNCTION("IMPORTRANGE(""https://docs.google.com/spreadsheets/d/1XL5vhW3sbDhbH9Cz0tuDiY8C3ctxq1tqvaCgkFb8cCA/edit?usp=sharing"",""ยโสธร!M429"")"),0)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IFERROR(__xludf.DUMMYFUNCTION("IMPORTRANGE(""https://docs.google.com/spreadsheets/d/1XL5vhW3sbDhbH9Cz0tuDiY8C3ctxq1tqvaCgkFb8cCA/edit?usp=sharing"",""ยโสธร!L430"")"),34340)</f>
        <v>34340</v>
      </c>
      <c r="M535" s="165"/>
      <c r="N535" s="169">
        <f ca="1">IFERROR(__xludf.DUMMYFUNCTION("IMPORTRANGE(""https://docs.google.com/spreadsheets/d/1XL5vhW3sbDhbH9Cz0tuDiY8C3ctxq1tqvaCgkFb8cCA/edit?usp=sharing"",""ยโสธร!M430"")"),20800)</f>
        <v>20800</v>
      </c>
      <c r="O535" s="169">
        <f t="shared" ca="1" si="118"/>
        <v>60.570762958648807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IFERROR(__xludf.DUMMYFUNCTION("IMPORTRANGE(""https://docs.google.com/spreadsheets/d/1XL5vhW3sbDhbH9Cz0tuDiY8C3ctxq1tqvaCgkFb8cCA/edit?usp=sharing"",""ยโสธร!L431"")"),0)</f>
        <v>0</v>
      </c>
      <c r="M536" s="169"/>
      <c r="N536" s="169">
        <f ca="1">IFERROR(__xludf.DUMMYFUNCTION("IMPORTRANGE(""https://docs.google.com/spreadsheets/d/1XL5vhW3sbDhbH9Cz0tuDiY8C3ctxq1tqvaCgkFb8cCA/edit?usp=sharing"",""ยโสธร!M431"")"),0)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IFERROR(__xludf.DUMMYFUNCTION("IMPORTRANGE(""https://docs.google.com/spreadsheets/d/1XL5vhW3sbDhbH9Cz0tuDiY8C3ctxq1tqvaCgkFb8cCA/edit?usp=sharing"",""ยโสธร!L432"")"),34340)</f>
        <v>34340</v>
      </c>
      <c r="M537" s="169"/>
      <c r="N537" s="169">
        <f ca="1">IFERROR(__xludf.DUMMYFUNCTION("IMPORTRANGE(""https://docs.google.com/spreadsheets/d/1XL5vhW3sbDhbH9Cz0tuDiY8C3ctxq1tqvaCgkFb8cCA/edit?usp=sharing"",""ยโสธร!M432"")"),20800)</f>
        <v>20800</v>
      </c>
      <c r="O537" s="169">
        <f t="shared" ca="1" si="118"/>
        <v>60.570762958648807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IFERROR(__xludf.DUMMYFUNCTION("IMPORTRANGE(""https://docs.google.com/spreadsheets/d/1XL5vhW3sbDhbH9Cz0tuDiY8C3ctxq1tqvaCgkFb8cCA/edit?usp=sharing"",""ยโสธร!M433"")"),14800)</f>
        <v>14800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IFERROR(__xludf.DUMMYFUNCTION("IMPORTRANGE(""https://docs.google.com/spreadsheets/d/1XL5vhW3sbDhbH9Cz0tuDiY8C3ctxq1tqvaCgkFb8cCA/edit?usp=sharing"",""ยโสธร!M434"")"),0)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IFERROR(__xludf.DUMMYFUNCTION("IMPORTRANGE(""https://docs.google.com/spreadsheets/d/1XL5vhW3sbDhbH9Cz0tuDiY8C3ctxq1tqvaCgkFb8cCA/edit?usp=sharing"",""ยโสธร!M435"")"),0)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IFERROR(__xludf.DUMMYFUNCTION("IMPORTRANGE(""https://docs.google.com/spreadsheets/d/1XL5vhW3sbDhbH9Cz0tuDiY8C3ctxq1tqvaCgkFb8cCA/edit?usp=sharing"",""ยโสธร!M436"")"),6000)</f>
        <v>6000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IFERROR(__xludf.DUMMYFUNCTION("IMPORTRANGE(""https://docs.google.com/spreadsheets/d/1XL5vhW3sbDhbH9Cz0tuDiY8C3ctxq1tqvaCgkFb8cCA/edit?usp=sharing"",""ยโสธร!J438"")"),0)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IFERROR(__xludf.DUMMYFUNCTION("IMPORTRANGE(""https://docs.google.com/spreadsheets/d/1XL5vhW3sbDhbH9Cz0tuDiY8C3ctxq1tqvaCgkFb8cCA/edit?usp=sharing"",""ยโสธร!J439"")"),1)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IFERROR(__xludf.DUMMYFUNCTION("IMPORTRANGE(""https://docs.google.com/spreadsheets/d/1XL5vhW3sbDhbH9Cz0tuDiY8C3ctxq1tqvaCgkFb8cCA/edit?usp=sharing"",""ยโสธร!J440"")"),1)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IFERROR(__xludf.DUMMYFUNCTION("IMPORTRANGE(""https://docs.google.com/spreadsheets/d/1XL5vhW3sbDhbH9Cz0tuDiY8C3ctxq1tqvaCgkFb8cCA/edit?usp=sharing"",""ยโสธร!J441"")"),1)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IFERROR(__xludf.DUMMYFUNCTION("IMPORTRANGE(""https://docs.google.com/spreadsheets/d/1XL5vhW3sbDhbH9Cz0tuDiY8C3ctxq1tqvaCgkFb8cCA/edit?usp=sharing"",""ยโสธร!I442"")"),22)</f>
        <v>22</v>
      </c>
      <c r="J547" s="189">
        <f ca="1">IFERROR(__xludf.DUMMYFUNCTION("IMPORTRANGE(""https://docs.google.com/spreadsheets/d/1XL5vhW3sbDhbH9Cz0tuDiY8C3ctxq1tqvaCgkFb8cCA/edit?usp=sharing"",""ยโสธร!J442"")"),22)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IFERROR(__xludf.DUMMYFUNCTION("IMPORTRANGE(""https://docs.google.com/spreadsheets/d/1XL5vhW3sbDhbH9Cz0tuDiY8C3ctxq1tqvaCgkFb8cCA/edit?usp=sharing"",""ยโสธร!J166"")"),0)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IFERROR(__xludf.DUMMYFUNCTION("IMPORTRANGE(""https://docs.google.com/spreadsheets/d/1XL5vhW3sbDhbH9Cz0tuDiY8C3ctxq1tqvaCgkFb8cCA/edit?usp=sharing"",""ยโสธร!J444"")"),0)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IFERROR(__xludf.DUMMYFUNCTION("IMPORTRANGE(""https://docs.google.com/spreadsheets/d/1XL5vhW3sbDhbH9Cz0tuDiY8C3ctxq1tqvaCgkFb8cCA/edit?usp=sharing"",""ยโสธร!J445"")"),0)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IFERROR(__xludf.DUMMYFUNCTION("IMPORTRANGE(""https://docs.google.com/spreadsheets/d/1XL5vhW3sbDhbH9Cz0tuDiY8C3ctxq1tqvaCgkFb8cCA/edit?usp=sharing"",""ยโสธร!I446"")"),0)</f>
        <v>0</v>
      </c>
      <c r="J551" s="410">
        <f ca="1">IFERROR(__xludf.DUMMYFUNCTION("IMPORTRANGE(""https://docs.google.com/spreadsheets/d/1XL5vhW3sbDhbH9Cz0tuDiY8C3ctxq1tqvaCgkFb8cCA/edit?usp=sharing"",""ยโสธร!J446"")"),0)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IFERROR(__xludf.DUMMYFUNCTION("IMPORTRANGE(""https://docs.google.com/spreadsheets/d/1XL5vhW3sbDhbH9Cz0tuDiY8C3ctxq1tqvaCgkFb8cCA/edit?usp=sharing"",""ยโสธร!L446"")"),0)</f>
        <v>0</v>
      </c>
      <c r="M551" s="412"/>
      <c r="N551" s="412">
        <f ca="1">IFERROR(__xludf.DUMMYFUNCTION("IMPORTRANGE(""https://docs.google.com/spreadsheets/d/1XL5vhW3sbDhbH9Cz0tuDiY8C3ctxq1tqvaCgkFb8cCA/edit?usp=sharing"",""ยโสธร!M446"")"),0)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IFERROR(__xludf.DUMMYFUNCTION("IMPORTRANGE(""https://docs.google.com/spreadsheets/d/1XL5vhW3sbDhbH9Cz0tuDiY8C3ctxq1tqvaCgkFb8cCA/edit?usp=sharing"",""ยโสธร!L447"")"),0)</f>
        <v>0</v>
      </c>
      <c r="M552" s="164"/>
      <c r="N552" s="169">
        <f ca="1">IFERROR(__xludf.DUMMYFUNCTION("IMPORTRANGE(""https://docs.google.com/spreadsheets/d/1XL5vhW3sbDhbH9Cz0tuDiY8C3ctxq1tqvaCgkFb8cCA/edit?usp=sharing"",""ยโสธร!M447"")"),0)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IFERROR(__xludf.DUMMYFUNCTION("IMPORTRANGE(""https://docs.google.com/spreadsheets/d/1XL5vhW3sbDhbH9Cz0tuDiY8C3ctxq1tqvaCgkFb8cCA/edit?usp=sharing"",""ยโสธร!L448"")"),0)</f>
        <v>0</v>
      </c>
      <c r="M553" s="165"/>
      <c r="N553" s="169">
        <f ca="1">IFERROR(__xludf.DUMMYFUNCTION("IMPORTRANGE(""https://docs.google.com/spreadsheets/d/1XL5vhW3sbDhbH9Cz0tuDiY8C3ctxq1tqvaCgkFb8cCA/edit?usp=sharing"",""ยโสธร!M448"")"),0)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IFERROR(__xludf.DUMMYFUNCTION("IMPORTRANGE(""https://docs.google.com/spreadsheets/d/1XL5vhW3sbDhbH9Cz0tuDiY8C3ctxq1tqvaCgkFb8cCA/edit?usp=sharing"",""ยโสธร!L449"")"),0)</f>
        <v>0</v>
      </c>
      <c r="M554" s="169"/>
      <c r="N554" s="169">
        <f ca="1">IFERROR(__xludf.DUMMYFUNCTION("IMPORTRANGE(""https://docs.google.com/spreadsheets/d/1XL5vhW3sbDhbH9Cz0tuDiY8C3ctxq1tqvaCgkFb8cCA/edit?usp=sharing"",""ยโสธร!M449"")"),0)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IFERROR(__xludf.DUMMYFUNCTION("IMPORTRANGE(""https://docs.google.com/spreadsheets/d/1XL5vhW3sbDhbH9Cz0tuDiY8C3ctxq1tqvaCgkFb8cCA/edit?usp=sharing"",""ยโสธร!L450"")"),0)</f>
        <v>0</v>
      </c>
      <c r="M555" s="169"/>
      <c r="N555" s="169">
        <f ca="1">IFERROR(__xludf.DUMMYFUNCTION("IMPORTRANGE(""https://docs.google.com/spreadsheets/d/1XL5vhW3sbDhbH9Cz0tuDiY8C3ctxq1tqvaCgkFb8cCA/edit?usp=sharing"",""ยโสธร!M450"")"),0)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IFERROR(__xludf.DUMMYFUNCTION("IMPORTRANGE(""https://docs.google.com/spreadsheets/d/1XL5vhW3sbDhbH9Cz0tuDiY8C3ctxq1tqvaCgkFb8cCA/edit?usp=sharing"",""ยโสธร!M451"")"),0)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IFERROR(__xludf.DUMMYFUNCTION("IMPORTRANGE(""https://docs.google.com/spreadsheets/d/1XL5vhW3sbDhbH9Cz0tuDiY8C3ctxq1tqvaCgkFb8cCA/edit?usp=sharing"",""ยโสธร!M452"")"),0)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IFERROR(__xludf.DUMMYFUNCTION("IMPORTRANGE(""https://docs.google.com/spreadsheets/d/1XL5vhW3sbDhbH9Cz0tuDiY8C3ctxq1tqvaCgkFb8cCA/edit?usp=sharing"",""ยโสธร!M453"")"),0)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IFERROR(__xludf.DUMMYFUNCTION("IMPORTRANGE(""https://docs.google.com/spreadsheets/d/1XL5vhW3sbDhbH9Cz0tuDiY8C3ctxq1tqvaCgkFb8cCA/edit?usp=sharing"",""ยโสธร!M454"")"),0)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IFERROR(__xludf.DUMMYFUNCTION("IMPORTRANGE(""https://docs.google.com/spreadsheets/d/1XL5vhW3sbDhbH9Cz0tuDiY8C3ctxq1tqvaCgkFb8cCA/edit?usp=sharing"",""ยโสธร!I455"")"),0)</f>
        <v>0</v>
      </c>
      <c r="J560" s="162">
        <f ca="1">IFERROR(__xludf.DUMMYFUNCTION("IMPORTRANGE(""https://docs.google.com/spreadsheets/d/1XL5vhW3sbDhbH9Cz0tuDiY8C3ctxq1tqvaCgkFb8cCA/edit?usp=sharing"",""ยโสธร!J455"")"),0)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IFERROR(__xludf.DUMMYFUNCTION("IMPORTRANGE(""https://docs.google.com/spreadsheets/d/1XL5vhW3sbDhbH9Cz0tuDiY8C3ctxq1tqvaCgkFb8cCA/edit?usp=sharing"",""ยโสธร!I456"")"),0)</f>
        <v>0</v>
      </c>
      <c r="J561" s="204">
        <f ca="1">IFERROR(__xludf.DUMMYFUNCTION("IMPORTRANGE(""https://docs.google.com/spreadsheets/d/1XL5vhW3sbDhbH9Cz0tuDiY8C3ctxq1tqvaCgkFb8cCA/edit?usp=sharing"",""ยโสธร!J456"")"),0)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IFERROR(__xludf.DUMMYFUNCTION("IMPORTRANGE(""https://docs.google.com/spreadsheets/d/1XL5vhW3sbDhbH9Cz0tuDiY8C3ctxq1tqvaCgkFb8cCA/edit?usp=sharing"",""ยโสธร!I459"")"),1900)</f>
        <v>1900</v>
      </c>
      <c r="J564" s="371">
        <f ca="1">IFERROR(__xludf.DUMMYFUNCTION("IMPORTRANGE(""https://docs.google.com/spreadsheets/d/1XL5vhW3sbDhbH9Cz0tuDiY8C3ctxq1tqvaCgkFb8cCA/edit?usp=sharing"",""ยโสธร!J459"")"),3414)</f>
        <v>3414</v>
      </c>
      <c r="K564" s="372">
        <f ca="1">IF(I564&gt;0,J564*100/I564,0)</f>
        <v>179.68421052631578</v>
      </c>
      <c r="L564" s="373">
        <f ca="1">IFERROR(__xludf.DUMMYFUNCTION("IMPORTRANGE(""https://docs.google.com/spreadsheets/d/1XL5vhW3sbDhbH9Cz0tuDiY8C3ctxq1tqvaCgkFb8cCA/edit?usp=sharing"",""ยโสธร!L459"")"),142240)</f>
        <v>142240</v>
      </c>
      <c r="M564" s="373"/>
      <c r="N564" s="373">
        <f ca="1">IFERROR(__xludf.DUMMYFUNCTION("IMPORTRANGE(""https://docs.google.com/spreadsheets/d/1XL5vhW3sbDhbH9Cz0tuDiY8C3ctxq1tqvaCgkFb8cCA/edit?usp=sharing"",""ยโสธร!M459"")"),26390)</f>
        <v>26390</v>
      </c>
      <c r="O564" s="373">
        <f t="shared" ref="O564:O568" ca="1" si="122">+IF(L564&gt;0,N564*100/L564,0)</f>
        <v>18.553149606299211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IFERROR(__xludf.DUMMYFUNCTION("IMPORTRANGE(""https://docs.google.com/spreadsheets/d/1XL5vhW3sbDhbH9Cz0tuDiY8C3ctxq1tqvaCgkFb8cCA/edit?usp=sharing"",""ยโสธร!L460"")"),0)</f>
        <v>0</v>
      </c>
      <c r="M565" s="164"/>
      <c r="N565" s="169">
        <f ca="1">IFERROR(__xludf.DUMMYFUNCTION("IMPORTRANGE(""https://docs.google.com/spreadsheets/d/1XL5vhW3sbDhbH9Cz0tuDiY8C3ctxq1tqvaCgkFb8cCA/edit?usp=sharing"",""ยโสธร!M460"")"),0)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IFERROR(__xludf.DUMMYFUNCTION("IMPORTRANGE(""https://docs.google.com/spreadsheets/d/1XL5vhW3sbDhbH9Cz0tuDiY8C3ctxq1tqvaCgkFb8cCA/edit?usp=sharing"",""ยโสธร!L461"")"),142240)</f>
        <v>142240</v>
      </c>
      <c r="M566" s="165"/>
      <c r="N566" s="169">
        <f ca="1">IFERROR(__xludf.DUMMYFUNCTION("IMPORTRANGE(""https://docs.google.com/spreadsheets/d/1XL5vhW3sbDhbH9Cz0tuDiY8C3ctxq1tqvaCgkFb8cCA/edit?usp=sharing"",""ยโสธร!M461"")"),26390)</f>
        <v>26390</v>
      </c>
      <c r="O566" s="169">
        <f t="shared" ca="1" si="122"/>
        <v>18.553149606299211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IFERROR(__xludf.DUMMYFUNCTION("IMPORTRANGE(""https://docs.google.com/spreadsheets/d/1XL5vhW3sbDhbH9Cz0tuDiY8C3ctxq1tqvaCgkFb8cCA/edit?usp=sharing"",""ยโสธร!L462"")"),0)</f>
        <v>0</v>
      </c>
      <c r="M567" s="169"/>
      <c r="N567" s="169">
        <f ca="1">IFERROR(__xludf.DUMMYFUNCTION("IMPORTRANGE(""https://docs.google.com/spreadsheets/d/1XL5vhW3sbDhbH9Cz0tuDiY8C3ctxq1tqvaCgkFb8cCA/edit?usp=sharing"",""ยโสธร!M462"")"),0)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IFERROR(__xludf.DUMMYFUNCTION("IMPORTRANGE(""https://docs.google.com/spreadsheets/d/1XL5vhW3sbDhbH9Cz0tuDiY8C3ctxq1tqvaCgkFb8cCA/edit?usp=sharing"",""ยโสธร!L463"")"),142240)</f>
        <v>142240</v>
      </c>
      <c r="M568" s="169"/>
      <c r="N568" s="169">
        <f ca="1">IFERROR(__xludf.DUMMYFUNCTION("IMPORTRANGE(""https://docs.google.com/spreadsheets/d/1XL5vhW3sbDhbH9Cz0tuDiY8C3ctxq1tqvaCgkFb8cCA/edit?usp=sharing"",""ยโสธร!M463"")"),26390)</f>
        <v>26390</v>
      </c>
      <c r="O568" s="169">
        <f t="shared" ca="1" si="122"/>
        <v>18.553149606299211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IFERROR(__xludf.DUMMYFUNCTION("IMPORTRANGE(""https://docs.google.com/spreadsheets/d/1XL5vhW3sbDhbH9Cz0tuDiY8C3ctxq1tqvaCgkFb8cCA/edit?usp=sharing"",""ยโสธร!M464"")"),0)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IFERROR(__xludf.DUMMYFUNCTION("IMPORTRANGE(""https://docs.google.com/spreadsheets/d/1XL5vhW3sbDhbH9Cz0tuDiY8C3ctxq1tqvaCgkFb8cCA/edit?usp=sharing"",""ยโสธร!M465"")"),0)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IFERROR(__xludf.DUMMYFUNCTION("IMPORTRANGE(""https://docs.google.com/spreadsheets/d/1XL5vhW3sbDhbH9Cz0tuDiY8C3ctxq1tqvaCgkFb8cCA/edit?usp=sharing"",""ยโสธร!M466"")"),0)</f>
        <v>0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IFERROR(__xludf.DUMMYFUNCTION("IMPORTRANGE(""https://docs.google.com/spreadsheets/d/1XL5vhW3sbDhbH9Cz0tuDiY8C3ctxq1tqvaCgkFb8cCA/edit?usp=sharing"",""ยโสธร!M467"")"),26390)</f>
        <v>26390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IFERROR(__xludf.DUMMYFUNCTION("IMPORTRANGE(""https://docs.google.com/spreadsheets/d/1XL5vhW3sbDhbH9Cz0tuDiY8C3ctxq1tqvaCgkFb8cCA/edit?usp=sharing"",""ยโสธร!I468"")"),1900)</f>
        <v>1900</v>
      </c>
      <c r="J573" s="420">
        <f ca="1">IFERROR(__xludf.DUMMYFUNCTION("IMPORTRANGE(""https://docs.google.com/spreadsheets/d/1XL5vhW3sbDhbH9Cz0tuDiY8C3ctxq1tqvaCgkFb8cCA/edit?usp=sharing"",""ยโสธร!J468"")"),3414)</f>
        <v>3414</v>
      </c>
      <c r="K573" s="202">
        <f ca="1">IF(I573&gt;0,J573*100/I573,0)</f>
        <v>179.68421052631578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IFERROR(__xludf.DUMMYFUNCTION("IMPORTRANGE(""https://docs.google.com/spreadsheets/d/1XL5vhW3sbDhbH9Cz0tuDiY8C3ctxq1tqvaCgkFb8cCA/edit?usp=sharing"",""ยโสธร!I470"")"),0)</f>
        <v>0</v>
      </c>
      <c r="J575" s="198">
        <f ca="1">IFERROR(__xludf.DUMMYFUNCTION("IMPORTRANGE(""https://docs.google.com/spreadsheets/d/1XL5vhW3sbDhbH9Cz0tuDiY8C3ctxq1tqvaCgkFb8cCA/edit?usp=sharing"",""ยโสธร!J470"")"),9)</f>
        <v>9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IFERROR(__xludf.DUMMYFUNCTION("IMPORTRANGE(""https://docs.google.com/spreadsheets/d/1XL5vhW3sbDhbH9Cz0tuDiY8C3ctxq1tqvaCgkFb8cCA/edit?usp=sharing"",""ยโสธร!I471"")"),0)</f>
        <v>0</v>
      </c>
      <c r="J576" s="198">
        <f ca="1">IFERROR(__xludf.DUMMYFUNCTION("IMPORTRANGE(""https://docs.google.com/spreadsheets/d/1XL5vhW3sbDhbH9Cz0tuDiY8C3ctxq1tqvaCgkFb8cCA/edit?usp=sharing"",""ยโสธร!J471"")"),181)</f>
        <v>181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IFERROR(__xludf.DUMMYFUNCTION("IMPORTRANGE(""https://docs.google.com/spreadsheets/d/1XL5vhW3sbDhbH9Cz0tuDiY8C3ctxq1tqvaCgkFb8cCA/edit?usp=sharing"",""ยโสธร!I472"")"),0)</f>
        <v>0</v>
      </c>
      <c r="J577" s="189">
        <f ca="1">IFERROR(__xludf.DUMMYFUNCTION("IMPORTRANGE(""https://docs.google.com/spreadsheets/d/1XL5vhW3sbDhbH9Cz0tuDiY8C3ctxq1tqvaCgkFb8cCA/edit?usp=sharing"",""ยโสธร!J472"")"),3233)</f>
        <v>3233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IFERROR(__xludf.DUMMYFUNCTION("IMPORTRANGE(""https://docs.google.com/spreadsheets/d/1XL5vhW3sbDhbH9Cz0tuDiY8C3ctxq1tqvaCgkFb8cCA/edit?usp=sharing"",""ยโสธร!I473"")"),0)</f>
        <v>0</v>
      </c>
      <c r="J578" s="198">
        <f ca="1">IFERROR(__xludf.DUMMYFUNCTION("IMPORTRANGE(""https://docs.google.com/spreadsheets/d/1XL5vhW3sbDhbH9Cz0tuDiY8C3ctxq1tqvaCgkFb8cCA/edit?usp=sharing"",""ยโสธร!J473"")"),0)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IFERROR(__xludf.DUMMYFUNCTION("IMPORTRANGE(""https://docs.google.com/spreadsheets/d/1XL5vhW3sbDhbH9Cz0tuDiY8C3ctxq1tqvaCgkFb8cCA/edit?usp=sharing"",""ยโสธร!I474"")"),0)</f>
        <v>0</v>
      </c>
      <c r="J579" s="198">
        <f ca="1">IFERROR(__xludf.DUMMYFUNCTION("IMPORTRANGE(""https://docs.google.com/spreadsheets/d/1XL5vhW3sbDhbH9Cz0tuDiY8C3ctxq1tqvaCgkFb8cCA/edit?usp=sharing"",""ยโสธร!J474"")"),0)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IFERROR(__xludf.DUMMYFUNCTION("IMPORTRANGE(""https://docs.google.com/spreadsheets/d/1XL5vhW3sbDhbH9Cz0tuDiY8C3ctxq1tqvaCgkFb8cCA/edit?usp=sharing"",""ยโสธร!I475"")"),100)</f>
        <v>100</v>
      </c>
      <c r="J580" s="371">
        <f ca="1">IFERROR(__xludf.DUMMYFUNCTION("IMPORTRANGE(""https://docs.google.com/spreadsheets/d/1XL5vhW3sbDhbH9Cz0tuDiY8C3ctxq1tqvaCgkFb8cCA/edit?usp=sharing"",""ยโสธร!J475"")"),24)</f>
        <v>24</v>
      </c>
      <c r="K580" s="372">
        <f ca="1">IF(I580&gt;0,J580*100/I580,0)</f>
        <v>24</v>
      </c>
      <c r="L580" s="373">
        <f ca="1">IFERROR(__xludf.DUMMYFUNCTION("IMPORTRANGE(""https://docs.google.com/spreadsheets/d/1XL5vhW3sbDhbH9Cz0tuDiY8C3ctxq1tqvaCgkFb8cCA/edit?usp=sharing"",""ยโสธร!L475"")"),306100)</f>
        <v>306100</v>
      </c>
      <c r="M580" s="373"/>
      <c r="N580" s="373">
        <f ca="1">IFERROR(__xludf.DUMMYFUNCTION("IMPORTRANGE(""https://docs.google.com/spreadsheets/d/1XL5vhW3sbDhbH9Cz0tuDiY8C3ctxq1tqvaCgkFb8cCA/edit?usp=sharing"",""ยโสธร!M475"")"),85253)</f>
        <v>85253</v>
      </c>
      <c r="O580" s="373">
        <f t="shared" ref="O580:O584" ca="1" si="124">+IF(L580&gt;0,N580*100/L580,0)</f>
        <v>27.851355766089512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IFERROR(__xludf.DUMMYFUNCTION("IMPORTRANGE(""https://docs.google.com/spreadsheets/d/1XL5vhW3sbDhbH9Cz0tuDiY8C3ctxq1tqvaCgkFb8cCA/edit?usp=sharing"",""ยโสธร!L476"")"),0)</f>
        <v>0</v>
      </c>
      <c r="M581" s="164"/>
      <c r="N581" s="169">
        <f ca="1">IFERROR(__xludf.DUMMYFUNCTION("IMPORTRANGE(""https://docs.google.com/spreadsheets/d/1XL5vhW3sbDhbH9Cz0tuDiY8C3ctxq1tqvaCgkFb8cCA/edit?usp=sharing"",""ยโสธร!M476"")"),0)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IFERROR(__xludf.DUMMYFUNCTION("IMPORTRANGE(""https://docs.google.com/spreadsheets/d/1XL5vhW3sbDhbH9Cz0tuDiY8C3ctxq1tqvaCgkFb8cCA/edit?usp=sharing"",""ยโสธร!L477"")"),306100)</f>
        <v>306100</v>
      </c>
      <c r="M582" s="165"/>
      <c r="N582" s="169">
        <f ca="1">IFERROR(__xludf.DUMMYFUNCTION("IMPORTRANGE(""https://docs.google.com/spreadsheets/d/1XL5vhW3sbDhbH9Cz0tuDiY8C3ctxq1tqvaCgkFb8cCA/edit?usp=sharing"",""ยโสธร!M477"")"),85253)</f>
        <v>85253</v>
      </c>
      <c r="O582" s="169">
        <f t="shared" ca="1" si="124"/>
        <v>27.851355766089512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IFERROR(__xludf.DUMMYFUNCTION("IMPORTRANGE(""https://docs.google.com/spreadsheets/d/1XL5vhW3sbDhbH9Cz0tuDiY8C3ctxq1tqvaCgkFb8cCA/edit?usp=sharing"",""ยโสธร!L478"")"),0)</f>
        <v>0</v>
      </c>
      <c r="M583" s="169"/>
      <c r="N583" s="169">
        <f ca="1">IFERROR(__xludf.DUMMYFUNCTION("IMPORTRANGE(""https://docs.google.com/spreadsheets/d/1XL5vhW3sbDhbH9Cz0tuDiY8C3ctxq1tqvaCgkFb8cCA/edit?usp=sharing"",""ยโสธร!M478"")"),0)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IFERROR(__xludf.DUMMYFUNCTION("IMPORTRANGE(""https://docs.google.com/spreadsheets/d/1XL5vhW3sbDhbH9Cz0tuDiY8C3ctxq1tqvaCgkFb8cCA/edit?usp=sharing"",""ยโสธร!L479"")"),306100)</f>
        <v>306100</v>
      </c>
      <c r="M584" s="169"/>
      <c r="N584" s="169">
        <f ca="1">IFERROR(__xludf.DUMMYFUNCTION("IMPORTRANGE(""https://docs.google.com/spreadsheets/d/1XL5vhW3sbDhbH9Cz0tuDiY8C3ctxq1tqvaCgkFb8cCA/edit?usp=sharing"",""ยโสธร!M479"")"),85253)</f>
        <v>85253</v>
      </c>
      <c r="O584" s="169">
        <f t="shared" ca="1" si="124"/>
        <v>27.851355766089512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IFERROR(__xludf.DUMMYFUNCTION("IMPORTRANGE(""https://docs.google.com/spreadsheets/d/1XL5vhW3sbDhbH9Cz0tuDiY8C3ctxq1tqvaCgkFb8cCA/edit?usp=sharing"",""ยโสธร!M480"")"),0)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IFERROR(__xludf.DUMMYFUNCTION("IMPORTRANGE(""https://docs.google.com/spreadsheets/d/1XL5vhW3sbDhbH9Cz0tuDiY8C3ctxq1tqvaCgkFb8cCA/edit?usp=sharing"",""ยโสธร!M481"")"),0)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IFERROR(__xludf.DUMMYFUNCTION("IMPORTRANGE(""https://docs.google.com/spreadsheets/d/1XL5vhW3sbDhbH9Cz0tuDiY8C3ctxq1tqvaCgkFb8cCA/edit?usp=sharing"",""ยโสธร!M482"")"),43633)</f>
        <v>43633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IFERROR(__xludf.DUMMYFUNCTION("IMPORTRANGE(""https://docs.google.com/spreadsheets/d/1XL5vhW3sbDhbH9Cz0tuDiY8C3ctxq1tqvaCgkFb8cCA/edit?usp=sharing"",""ยโสธร!M483"")"),41620)</f>
        <v>41620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IFERROR(__xludf.DUMMYFUNCTION("IMPORTRANGE(""https://docs.google.com/spreadsheets/d/1XL5vhW3sbDhbH9Cz0tuDiY8C3ctxq1tqvaCgkFb8cCA/edit?usp=sharing"",""ยโสธร!I484"")"),100)</f>
        <v>100</v>
      </c>
      <c r="J589" s="188">
        <f ca="1">IFERROR(__xludf.DUMMYFUNCTION("IMPORTRANGE(""https://docs.google.com/spreadsheets/d/1XL5vhW3sbDhbH9Cz0tuDiY8C3ctxq1tqvaCgkFb8cCA/edit?usp=sharing"",""ยโสธร!J484"")"),60)</f>
        <v>60</v>
      </c>
      <c r="K589" s="163">
        <f t="shared" ref="K589:K596" ca="1" si="125">IF(I589&gt;0,J589*100/I589,0)</f>
        <v>60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IFERROR(__xludf.DUMMYFUNCTION("IMPORTRANGE(""https://docs.google.com/spreadsheets/d/1XL5vhW3sbDhbH9Cz0tuDiY8C3ctxq1tqvaCgkFb8cCA/edit?usp=sharing"",""ยโสธร!I485"")"),0)</f>
        <v>0</v>
      </c>
      <c r="J590" s="188">
        <f ca="1">IFERROR(__xludf.DUMMYFUNCTION("IMPORTRANGE(""https://docs.google.com/spreadsheets/d/1XL5vhW3sbDhbH9Cz0tuDiY8C3ctxq1tqvaCgkFb8cCA/edit?usp=sharing"",""ยโสธร!J485"")"),22.45)</f>
        <v>22.45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IFERROR(__xludf.DUMMYFUNCTION("IMPORTRANGE(""https://docs.google.com/spreadsheets/d/1XL5vhW3sbDhbH9Cz0tuDiY8C3ctxq1tqvaCgkFb8cCA/edit?usp=sharing"",""ยโสธร!I486"")"),100)</f>
        <v>100</v>
      </c>
      <c r="J591" s="188">
        <f ca="1">IFERROR(__xludf.DUMMYFUNCTION("IMPORTRANGE(""https://docs.google.com/spreadsheets/d/1XL5vhW3sbDhbH9Cz0tuDiY8C3ctxq1tqvaCgkFb8cCA/edit?usp=sharing"",""ยโสธร!J486"")"),56)</f>
        <v>56</v>
      </c>
      <c r="K591" s="163">
        <f t="shared" ca="1" si="125"/>
        <v>56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IFERROR(__xludf.DUMMYFUNCTION("IMPORTRANGE(""https://docs.google.com/spreadsheets/d/1XL5vhW3sbDhbH9Cz0tuDiY8C3ctxq1tqvaCgkFb8cCA/edit?usp=sharing"",""ยโสธร!I487"")"),0)</f>
        <v>0</v>
      </c>
      <c r="J592" s="188">
        <f ca="1">IFERROR(__xludf.DUMMYFUNCTION("IMPORTRANGE(""https://docs.google.com/spreadsheets/d/1XL5vhW3sbDhbH9Cz0tuDiY8C3ctxq1tqvaCgkFb8cCA/edit?usp=sharing"",""ยโสธร!J487"")"),24.15)</f>
        <v>24.15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IFERROR(__xludf.DUMMYFUNCTION("IMPORTRANGE(""https://docs.google.com/spreadsheets/d/1XL5vhW3sbDhbH9Cz0tuDiY8C3ctxq1tqvaCgkFb8cCA/edit?usp=sharing"",""ยโสธร!I488"")"),100)</f>
        <v>100</v>
      </c>
      <c r="J593" s="188">
        <f ca="1">IFERROR(__xludf.DUMMYFUNCTION("IMPORTRANGE(""https://docs.google.com/spreadsheets/d/1XL5vhW3sbDhbH9Cz0tuDiY8C3ctxq1tqvaCgkFb8cCA/edit?usp=sharing"",""ยโสธร!J488"")"),0)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IFERROR(__xludf.DUMMYFUNCTION("IMPORTRANGE(""https://docs.google.com/spreadsheets/d/1XL5vhW3sbDhbH9Cz0tuDiY8C3ctxq1tqvaCgkFb8cCA/edit?usp=sharing"",""ยโสธร!I489"")"),0)</f>
        <v>0</v>
      </c>
      <c r="J594" s="188">
        <f ca="1">IFERROR(__xludf.DUMMYFUNCTION("IMPORTRANGE(""https://docs.google.com/spreadsheets/d/1XL5vhW3sbDhbH9Cz0tuDiY8C3ctxq1tqvaCgkFb8cCA/edit?usp=sharing"",""ยโสธร!J489"")"),0)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IFERROR(__xludf.DUMMYFUNCTION("IMPORTRANGE(""https://docs.google.com/spreadsheets/d/1XL5vhW3sbDhbH9Cz0tuDiY8C3ctxq1tqvaCgkFb8cCA/edit?usp=sharing"",""ยโสธร!I490"")"),100)</f>
        <v>100</v>
      </c>
      <c r="J595" s="188">
        <f ca="1">IFERROR(__xludf.DUMMYFUNCTION("IMPORTRANGE(""https://docs.google.com/spreadsheets/d/1XL5vhW3sbDhbH9Cz0tuDiY8C3ctxq1tqvaCgkFb8cCA/edit?usp=sharing"",""ยโสธร!J490"")"),24)</f>
        <v>24</v>
      </c>
      <c r="K595" s="163">
        <f t="shared" ca="1" si="125"/>
        <v>24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IFERROR(__xludf.DUMMYFUNCTION("IMPORTRANGE(""https://docs.google.com/spreadsheets/d/1XL5vhW3sbDhbH9Cz0tuDiY8C3ctxq1tqvaCgkFb8cCA/edit?usp=sharing"",""ยโสธร!I491"")"),0)</f>
        <v>0</v>
      </c>
      <c r="J596" s="241">
        <f ca="1">IFERROR(__xludf.DUMMYFUNCTION("IMPORTRANGE(""https://docs.google.com/spreadsheets/d/1XL5vhW3sbDhbH9Cz0tuDiY8C3ctxq1tqvaCgkFb8cCA/edit?usp=sharing"",""ยโสธร!J491"")"),12.41)</f>
        <v>12.41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IFERROR(__xludf.DUMMYFUNCTION("IMPORTRANGE(""https://docs.google.com/spreadsheets/d/1XL5vhW3sbDhbH9Cz0tuDiY8C3ctxq1tqvaCgkFb8cCA/edit?usp=sharing"",""ยโสธร!I492"")"),100)</f>
        <v>100</v>
      </c>
      <c r="J597" s="487">
        <f ca="1">IFERROR(__xludf.DUMMYFUNCTION("IMPORTRANGE(""https://docs.google.com/spreadsheets/d/1XL5vhW3sbDhbH9Cz0tuDiY8C3ctxq1tqvaCgkFb8cCA/edit?usp=sharing"",""ยโสธร!J492"")"),0)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IFERROR(__xludf.DUMMYFUNCTION("IMPORTRANGE(""https://docs.google.com/spreadsheets/d/1XL5vhW3sbDhbH9Cz0tuDiY8C3ctxq1tqvaCgkFb8cCA/edit?usp=sharing"",""ยโสธร!L492"")"),13700)</f>
        <v>13700</v>
      </c>
      <c r="M597" s="412"/>
      <c r="N597" s="412">
        <f ca="1">IFERROR(__xludf.DUMMYFUNCTION("IMPORTRANGE(""https://docs.google.com/spreadsheets/d/1XL5vhW3sbDhbH9Cz0tuDiY8C3ctxq1tqvaCgkFb8cCA/edit?usp=sharing"",""ยโสธร!M492"")"),5849)</f>
        <v>5849</v>
      </c>
      <c r="O597" s="412">
        <f t="shared" ref="O597:O601" ca="1" si="126">+IF(L597&gt;0,N597*100/L597,0)</f>
        <v>42.693430656934304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IFERROR(__xludf.DUMMYFUNCTION("IMPORTRANGE(""https://docs.google.com/spreadsheets/d/1XL5vhW3sbDhbH9Cz0tuDiY8C3ctxq1tqvaCgkFb8cCA/edit?usp=sharing"",""ยโสธร!L493"")"),0)</f>
        <v>0</v>
      </c>
      <c r="M598" s="164"/>
      <c r="N598" s="169">
        <f ca="1">IFERROR(__xludf.DUMMYFUNCTION("IMPORTRANGE(""https://docs.google.com/spreadsheets/d/1XL5vhW3sbDhbH9Cz0tuDiY8C3ctxq1tqvaCgkFb8cCA/edit?usp=sharing"",""ยโสธร!M493"")"),0)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IFERROR(__xludf.DUMMYFUNCTION("IMPORTRANGE(""https://docs.google.com/spreadsheets/d/1XL5vhW3sbDhbH9Cz0tuDiY8C3ctxq1tqvaCgkFb8cCA/edit?usp=sharing"",""ยโสธร!L494"")"),13700)</f>
        <v>13700</v>
      </c>
      <c r="M599" s="165"/>
      <c r="N599" s="169">
        <f ca="1">IFERROR(__xludf.DUMMYFUNCTION("IMPORTRANGE(""https://docs.google.com/spreadsheets/d/1XL5vhW3sbDhbH9Cz0tuDiY8C3ctxq1tqvaCgkFb8cCA/edit?usp=sharing"",""ยโสธร!M494"")"),5849)</f>
        <v>5849</v>
      </c>
      <c r="O599" s="169">
        <f t="shared" ca="1" si="126"/>
        <v>42.693430656934304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IFERROR(__xludf.DUMMYFUNCTION("IMPORTRANGE(""https://docs.google.com/spreadsheets/d/1XL5vhW3sbDhbH9Cz0tuDiY8C3ctxq1tqvaCgkFb8cCA/edit?usp=sharing"",""ยโสธร!L495"")"),0)</f>
        <v>0</v>
      </c>
      <c r="M600" s="169"/>
      <c r="N600" s="169">
        <f ca="1">IFERROR(__xludf.DUMMYFUNCTION("IMPORTRANGE(""https://docs.google.com/spreadsheets/d/1XL5vhW3sbDhbH9Cz0tuDiY8C3ctxq1tqvaCgkFb8cCA/edit?usp=sharing"",""ยโสธร!M495"")"),0)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IFERROR(__xludf.DUMMYFUNCTION("IMPORTRANGE(""https://docs.google.com/spreadsheets/d/1XL5vhW3sbDhbH9Cz0tuDiY8C3ctxq1tqvaCgkFb8cCA/edit?usp=sharing"",""ยโสธร!L496"")"),13700)</f>
        <v>13700</v>
      </c>
      <c r="M601" s="169"/>
      <c r="N601" s="169">
        <f ca="1">IFERROR(__xludf.DUMMYFUNCTION("IMPORTRANGE(""https://docs.google.com/spreadsheets/d/1XL5vhW3sbDhbH9Cz0tuDiY8C3ctxq1tqvaCgkFb8cCA/edit?usp=sharing"",""ยโสธร!M496"")"),5849)</f>
        <v>5849</v>
      </c>
      <c r="O601" s="169">
        <f t="shared" ca="1" si="126"/>
        <v>42.693430656934304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IFERROR(__xludf.DUMMYFUNCTION("IMPORTRANGE(""https://docs.google.com/spreadsheets/d/1XL5vhW3sbDhbH9Cz0tuDiY8C3ctxq1tqvaCgkFb8cCA/edit?usp=sharing"",""ยโสธร!M497"")"),0)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IFERROR(__xludf.DUMMYFUNCTION("IMPORTRANGE(""https://docs.google.com/spreadsheets/d/1XL5vhW3sbDhbH9Cz0tuDiY8C3ctxq1tqvaCgkFb8cCA/edit?usp=sharing"",""ยโสธร!M498"")"),0)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IFERROR(__xludf.DUMMYFUNCTION("IMPORTRANGE(""https://docs.google.com/spreadsheets/d/1XL5vhW3sbDhbH9Cz0tuDiY8C3ctxq1tqvaCgkFb8cCA/edit?usp=sharing"",""ยโสธร!M499"")"),0)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IFERROR(__xludf.DUMMYFUNCTION("IMPORTRANGE(""https://docs.google.com/spreadsheets/d/1XL5vhW3sbDhbH9Cz0tuDiY8C3ctxq1tqvaCgkFb8cCA/edit?usp=sharing"",""ยโสธร!M500"")"),5849)</f>
        <v>5849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IFERROR(__xludf.DUMMYFUNCTION("IMPORTRANGE(""https://docs.google.com/spreadsheets/d/1XL5vhW3sbDhbH9Cz0tuDiY8C3ctxq1tqvaCgkFb8cCA/edit?usp=sharing"",""ยโสธร!J502"")"),0)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IFERROR(__xludf.DUMMYFUNCTION("IMPORTRANGE(""https://docs.google.com/spreadsheets/d/1XL5vhW3sbDhbH9Cz0tuDiY8C3ctxq1tqvaCgkFb8cCA/edit?usp=sharing"",""ยโสธร!J503"")"),1)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539"/>
      <c r="B609" s="540"/>
      <c r="C609" s="540"/>
      <c r="D609" s="541"/>
      <c r="E609" s="542" t="s">
        <v>46</v>
      </c>
      <c r="F609" s="543"/>
      <c r="G609" s="544"/>
      <c r="H609" s="545"/>
      <c r="I609" s="546"/>
      <c r="J609" s="546">
        <f ca="1">IFERROR(__xludf.DUMMYFUNCTION("IMPORTRANGE(""https://docs.google.com/spreadsheets/d/1XL5vhW3sbDhbH9Cz0tuDiY8C3ctxq1tqvaCgkFb8cCA/edit?usp=sharing"",""ยโสธร!J166"")"),0)</f>
        <v>0</v>
      </c>
      <c r="K609" s="547"/>
      <c r="L609" s="548"/>
      <c r="M609" s="548"/>
      <c r="N609" s="548"/>
      <c r="O609" s="548"/>
      <c r="P609" s="548"/>
    </row>
    <row r="610" spans="1:16" ht="21.75" hidden="1" customHeight="1" x14ac:dyDescent="0.35">
      <c r="A610" s="539"/>
      <c r="B610" s="540"/>
      <c r="C610" s="540"/>
      <c r="D610" s="541"/>
      <c r="E610" s="542" t="s">
        <v>47</v>
      </c>
      <c r="F610" s="543"/>
      <c r="G610" s="544"/>
      <c r="H610" s="545"/>
      <c r="I610" s="546"/>
      <c r="J610" s="546">
        <f ca="1">IFERROR(__xludf.DUMMYFUNCTION("IMPORTRANGE(""https://docs.google.com/spreadsheets/d/1XL5vhW3sbDhbH9Cz0tuDiY8C3ctxq1tqvaCgkFb8cCA/edit?usp=sharing"",""ยโสธร!J166"")"),0)</f>
        <v>0</v>
      </c>
      <c r="K610" s="547"/>
      <c r="L610" s="548"/>
      <c r="M610" s="548"/>
      <c r="N610" s="548"/>
      <c r="O610" s="548"/>
      <c r="P610" s="548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IFERROR(__xludf.DUMMYFUNCTION("IMPORTRANGE(""https://docs.google.com/spreadsheets/d/1XL5vhW3sbDhbH9Cz0tuDiY8C3ctxq1tqvaCgkFb8cCA/edit?usp=sharing"",""ยโสธร!I506"")"),100)</f>
        <v>100</v>
      </c>
      <c r="J611" s="162">
        <f ca="1">IFERROR(__xludf.DUMMYFUNCTION("IMPORTRANGE(""https://docs.google.com/spreadsheets/d/1XL5vhW3sbDhbH9Cz0tuDiY8C3ctxq1tqvaCgkFb8cCA/edit?usp=sharing"",""ยโสธร!J506"")"),0)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IFERROR(__xludf.DUMMYFUNCTION("IMPORTRANGE(""https://docs.google.com/spreadsheets/d/1XL5vhW3sbDhbH9Cz0tuDiY8C3ctxq1tqvaCgkFb8cCA/edit?usp=sharing"",""ยโสธร!I507"")"),0)</f>
        <v>0</v>
      </c>
      <c r="J612" s="198">
        <f ca="1">IFERROR(__xludf.DUMMYFUNCTION("IMPORTRANGE(""https://docs.google.com/spreadsheets/d/1XL5vhW3sbDhbH9Cz0tuDiY8C3ctxq1tqvaCgkFb8cCA/edit?usp=sharing"",""ยโสธร!J507"")"),81.22)</f>
        <v>81.22</v>
      </c>
      <c r="K612" s="163">
        <f t="shared" ca="1" si="127"/>
        <v>81.22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IFERROR(__xludf.DUMMYFUNCTION("IMPORTRANGE(""https://docs.google.com/spreadsheets/d/1XL5vhW3sbDhbH9Cz0tuDiY8C3ctxq1tqvaCgkFb8cCA/edit?usp=sharing"",""ยโสธร!I508"")"),0)</f>
        <v>0</v>
      </c>
      <c r="J613" s="198">
        <f ca="1">IFERROR(__xludf.DUMMYFUNCTION("IMPORTRANGE(""https://docs.google.com/spreadsheets/d/1XL5vhW3sbDhbH9Cz0tuDiY8C3ctxq1tqvaCgkFb8cCA/edit?usp=sharing"",""ยโสธร!J508"")"),81.22)</f>
        <v>81.22</v>
      </c>
      <c r="K613" s="163">
        <f t="shared" ca="1" si="127"/>
        <v>81.22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IFERROR(__xludf.DUMMYFUNCTION("IMPORTRANGE(""https://docs.google.com/spreadsheets/d/1XL5vhW3sbDhbH9Cz0tuDiY8C3ctxq1tqvaCgkFb8cCA/edit?usp=sharing"",""ยโสธร!I509"")"),0)</f>
        <v>0</v>
      </c>
      <c r="J614" s="198">
        <f ca="1">IFERROR(__xludf.DUMMYFUNCTION("IMPORTRANGE(""https://docs.google.com/spreadsheets/d/1XL5vhW3sbDhbH9Cz0tuDiY8C3ctxq1tqvaCgkFb8cCA/edit?usp=sharing"",""ยโสธร!J509"")"),81.22)</f>
        <v>81.22</v>
      </c>
      <c r="K614" s="163">
        <f t="shared" ca="1" si="127"/>
        <v>81.22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IFERROR(__xludf.DUMMYFUNCTION("IMPORTRANGE(""https://docs.google.com/spreadsheets/d/1XL5vhW3sbDhbH9Cz0tuDiY8C3ctxq1tqvaCgkFb8cCA/edit?usp=sharing"",""ยโสธร!I510"")"),0)</f>
        <v>0</v>
      </c>
      <c r="J615" s="198">
        <f ca="1">IFERROR(__xludf.DUMMYFUNCTION("IMPORTRANGE(""https://docs.google.com/spreadsheets/d/1XL5vhW3sbDhbH9Cz0tuDiY8C3ctxq1tqvaCgkFb8cCA/edit?usp=sharing"",""ยโสธร!J510"")"),81.22)</f>
        <v>81.22</v>
      </c>
      <c r="K615" s="163">
        <f t="shared" ca="1" si="127"/>
        <v>81.22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IFERROR(__xludf.DUMMYFUNCTION("IMPORTRANGE(""https://docs.google.com/spreadsheets/d/1XL5vhW3sbDhbH9Cz0tuDiY8C3ctxq1tqvaCgkFb8cCA/edit?usp=sharing"",""ยโสธร!I511"")"),0)</f>
        <v>0</v>
      </c>
      <c r="J616" s="198">
        <f ca="1">IFERROR(__xludf.DUMMYFUNCTION("IMPORTRANGE(""https://docs.google.com/spreadsheets/d/1XL5vhW3sbDhbH9Cz0tuDiY8C3ctxq1tqvaCgkFb8cCA/edit?usp=sharing"",""ยโสธร!J511"")"),0)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IFERROR(__xludf.DUMMYFUNCTION("IMPORTRANGE(""https://docs.google.com/spreadsheets/d/1XL5vhW3sbDhbH9Cz0tuDiY8C3ctxq1tqvaCgkFb8cCA/edit?usp=sharing"",""ยโสธร!I512"")"),0)</f>
        <v>0</v>
      </c>
      <c r="J617" s="188">
        <f ca="1">IFERROR(__xludf.DUMMYFUNCTION("IMPORTRANGE(""https://docs.google.com/spreadsheets/d/1XL5vhW3sbDhbH9Cz0tuDiY8C3ctxq1tqvaCgkFb8cCA/edit?usp=sharing"",""ยโสธร!J512"")"),0)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IFERROR(__xludf.DUMMYFUNCTION("IMPORTRANGE(""https://docs.google.com/spreadsheets/d/1XL5vhW3sbDhbH9Cz0tuDiY8C3ctxq1tqvaCgkFb8cCA/edit?usp=sharing"",""ยโสธร!I513"")"),0)</f>
        <v>0</v>
      </c>
      <c r="J618" s="189">
        <f ca="1">IFERROR(__xludf.DUMMYFUNCTION("IMPORTRANGE(""https://docs.google.com/spreadsheets/d/1XL5vhW3sbDhbH9Cz0tuDiY8C3ctxq1tqvaCgkFb8cCA/edit?usp=sharing"",""ยโสธร!J513"")"),0)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IFERROR(__xludf.DUMMYFUNCTION("IMPORTRANGE(""https://docs.google.com/spreadsheets/d/1XL5vhW3sbDhbH9Cz0tuDiY8C3ctxq1tqvaCgkFb8cCA/edit?usp=sharing"",""ยโสธร!I514"")"),0)</f>
        <v>0</v>
      </c>
      <c r="J619" s="189">
        <f ca="1">IFERROR(__xludf.DUMMYFUNCTION("IMPORTRANGE(""https://docs.google.com/spreadsheets/d/1XL5vhW3sbDhbH9Cz0tuDiY8C3ctxq1tqvaCgkFb8cCA/edit?usp=sharing"",""ยโสธร!J514"")"),0)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IFERROR(__xludf.DUMMYFUNCTION("IMPORTRANGE(""https://docs.google.com/spreadsheets/d/1XL5vhW3sbDhbH9Cz0tuDiY8C3ctxq1tqvaCgkFb8cCA/edit?usp=sharing"",""ยโสธร!I515"")"),0)</f>
        <v>0</v>
      </c>
      <c r="J620" s="203">
        <f ca="1">IFERROR(__xludf.DUMMYFUNCTION("IMPORTRANGE(""https://docs.google.com/spreadsheets/d/1XL5vhW3sbDhbH9Cz0tuDiY8C3ctxq1tqvaCgkFb8cCA/edit?usp=sharing"",""ยโสธร!J515"")"),0)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IFERROR(__xludf.DUMMYFUNCTION("IMPORTRANGE(""https://docs.google.com/spreadsheets/d/1XL5vhW3sbDhbH9Cz0tuDiY8C3ctxq1tqvaCgkFb8cCA/edit?usp=sharing"",""ยโสธร!I516"")"),0)</f>
        <v>0</v>
      </c>
      <c r="J621" s="203">
        <f ca="1">IFERROR(__xludf.DUMMYFUNCTION("IMPORTRANGE(""https://docs.google.com/spreadsheets/d/1XL5vhW3sbDhbH9Cz0tuDiY8C3ctxq1tqvaCgkFb8cCA/edit?usp=sharing"",""ยโสธร!J516"")"),0)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IFERROR(__xludf.DUMMYFUNCTION("IMPORTRANGE(""https://docs.google.com/spreadsheets/d/1XL5vhW3sbDhbH9Cz0tuDiY8C3ctxq1tqvaCgkFb8cCA/edit?usp=sharing"",""ยโสธร!I517"")"),0)</f>
        <v>0</v>
      </c>
      <c r="J622" s="189">
        <f ca="1">IFERROR(__xludf.DUMMYFUNCTION("IMPORTRANGE(""https://docs.google.com/spreadsheets/d/1XL5vhW3sbDhbH9Cz0tuDiY8C3ctxq1tqvaCgkFb8cCA/edit?usp=sharing"",""ยโสธร!J517"")"),0)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IFERROR(__xludf.DUMMYFUNCTION("IMPORTRANGE(""https://docs.google.com/spreadsheets/d/1XL5vhW3sbDhbH9Cz0tuDiY8C3ctxq1tqvaCgkFb8cCA/edit?usp=sharing"",""ยโสธร!I518"")"),0)</f>
        <v>0</v>
      </c>
      <c r="J623" s="189">
        <f ca="1">IFERROR(__xludf.DUMMYFUNCTION("IMPORTRANGE(""https://docs.google.com/spreadsheets/d/1XL5vhW3sbDhbH9Cz0tuDiY8C3ctxq1tqvaCgkFb8cCA/edit?usp=sharing"",""ยโสธร!J518"")"),0)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IFERROR(__xludf.DUMMYFUNCTION("IMPORTRANGE(""https://docs.google.com/spreadsheets/d/1XL5vhW3sbDhbH9Cz0tuDiY8C3ctxq1tqvaCgkFb8cCA/edit?usp=sharing"",""ยโสธร!I519"")"),0)</f>
        <v>0</v>
      </c>
      <c r="J624" s="188">
        <f ca="1">IFERROR(__xludf.DUMMYFUNCTION("IMPORTRANGE(""https://docs.google.com/spreadsheets/d/1XL5vhW3sbDhbH9Cz0tuDiY8C3ctxq1tqvaCgkFb8cCA/edit?usp=sharing"",""ยโสธร!J519"")"),0)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IFERROR(__xludf.DUMMYFUNCTION("IMPORTRANGE(""https://docs.google.com/spreadsheets/d/1XL5vhW3sbDhbH9Cz0tuDiY8C3ctxq1tqvaCgkFb8cCA/edit?usp=sharing"",""ยโสธร!I520"")"),0)</f>
        <v>0</v>
      </c>
      <c r="J625" s="189">
        <f ca="1">IFERROR(__xludf.DUMMYFUNCTION("IMPORTRANGE(""https://docs.google.com/spreadsheets/d/1XL5vhW3sbDhbH9Cz0tuDiY8C3ctxq1tqvaCgkFb8cCA/edit?usp=sharing"",""ยโสธร!J520"")"),0)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IFERROR(__xludf.DUMMYFUNCTION("IMPORTRANGE(""https://docs.google.com/spreadsheets/d/1XL5vhW3sbDhbH9Cz0tuDiY8C3ctxq1tqvaCgkFb8cCA/edit?usp=sharing"",""ยโสธร!I521"")"),0)</f>
        <v>0</v>
      </c>
      <c r="J626" s="189">
        <f ca="1">IFERROR(__xludf.DUMMYFUNCTION("IMPORTRANGE(""https://docs.google.com/spreadsheets/d/1XL5vhW3sbDhbH9Cz0tuDiY8C3ctxq1tqvaCgkFb8cCA/edit?usp=sharing"",""ยโสธร!J521"")"),0)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IFERROR(__xludf.DUMMYFUNCTION("IMPORTRANGE(""https://docs.google.com/spreadsheets/d/1XL5vhW3sbDhbH9Cz0tuDiY8C3ctxq1tqvaCgkFb8cCA/edit?usp=sharing"",""ยโสธร!I523"")"),6245430.72)</f>
        <v>6245430.7199999997</v>
      </c>
      <c r="J628" s="341">
        <f ca="1">IFERROR(__xludf.DUMMYFUNCTION("IMPORTRANGE(""https://docs.google.com/spreadsheets/d/1XL5vhW3sbDhbH9Cz0tuDiY8C3ctxq1tqvaCgkFb8cCA/edit?usp=sharing"",""ยโสธร!J523"")"),2883620.57)</f>
        <v>2883620.57</v>
      </c>
      <c r="K628" s="342">
        <f t="shared" ref="K628:K635" ca="1" si="129">IF(I628&gt;0,J628*100/I628,0)</f>
        <v>46.171684536755215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IFERROR(__xludf.DUMMYFUNCTION("IMPORTRANGE(""https://docs.google.com/spreadsheets/d/1XL5vhW3sbDhbH9Cz0tuDiY8C3ctxq1tqvaCgkFb8cCA/edit?usp=sharing"",""ยโสธร!I524"")"),625)</f>
        <v>625</v>
      </c>
      <c r="J629" s="341">
        <f ca="1">IFERROR(__xludf.DUMMYFUNCTION("IMPORTRANGE(""https://docs.google.com/spreadsheets/d/1XL5vhW3sbDhbH9Cz0tuDiY8C3ctxq1tqvaCgkFb8cCA/edit?usp=sharing"",""ยโสธร!J524"")"),283)</f>
        <v>283</v>
      </c>
      <c r="K629" s="342">
        <f t="shared" ca="1" si="129"/>
        <v>45.28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IFERROR(__xludf.DUMMYFUNCTION("IMPORTRANGE(""https://docs.google.com/spreadsheets/d/1XL5vhW3sbDhbH9Cz0tuDiY8C3ctxq1tqvaCgkFb8cCA/edit?usp=sharing"",""ยโสธร!I525"")"),4584633.55)</f>
        <v>4584633.55</v>
      </c>
      <c r="J630" s="341">
        <f ca="1">IFERROR(__xludf.DUMMYFUNCTION("IMPORTRANGE(""https://docs.google.com/spreadsheets/d/1XL5vhW3sbDhbH9Cz0tuDiY8C3ctxq1tqvaCgkFb8cCA/edit?usp=sharing"",""ยโสธร!J525"")"),753138.45)</f>
        <v>753138.45</v>
      </c>
      <c r="K630" s="342">
        <f t="shared" ca="1" si="129"/>
        <v>16.427451437203743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IFERROR(__xludf.DUMMYFUNCTION("IMPORTRANGE(""https://docs.google.com/spreadsheets/d/1XL5vhW3sbDhbH9Cz0tuDiY8C3ctxq1tqvaCgkFb8cCA/edit?usp=sharing"",""ยโสธร!I526"")"),275)</f>
        <v>275</v>
      </c>
      <c r="J631" s="341">
        <f ca="1">IFERROR(__xludf.DUMMYFUNCTION("IMPORTRANGE(""https://docs.google.com/spreadsheets/d/1XL5vhW3sbDhbH9Cz0tuDiY8C3ctxq1tqvaCgkFb8cCA/edit?usp=sharing"",""ยโสธร!J526"")"),114)</f>
        <v>114</v>
      </c>
      <c r="K631" s="342">
        <f t="shared" ca="1" si="129"/>
        <v>41.454545454545453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IFERROR(__xludf.DUMMYFUNCTION("IMPORTRANGE(""https://docs.google.com/spreadsheets/d/1XL5vhW3sbDhbH9Cz0tuDiY8C3ctxq1tqvaCgkFb8cCA/edit?usp=sharing"",""ยโสธร!I527"")"),0)</f>
        <v>0</v>
      </c>
      <c r="J632" s="341">
        <f ca="1">IFERROR(__xludf.DUMMYFUNCTION("IMPORTRANGE(""https://docs.google.com/spreadsheets/d/1XL5vhW3sbDhbH9Cz0tuDiY8C3ctxq1tqvaCgkFb8cCA/edit?usp=sharing"",""ยโสธร!J527"")"),69871.78)</f>
        <v>69871.78</v>
      </c>
      <c r="K632" s="342">
        <f t="shared" ca="1" si="129"/>
        <v>0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IFERROR(__xludf.DUMMYFUNCTION("IMPORTRANGE(""https://docs.google.com/spreadsheets/d/1XL5vhW3sbDhbH9Cz0tuDiY8C3ctxq1tqvaCgkFb8cCA/edit?usp=sharing"",""ยโสธร!I528"")"),0)</f>
        <v>0</v>
      </c>
      <c r="J633" s="341">
        <f ca="1">IFERROR(__xludf.DUMMYFUNCTION("IMPORTRANGE(""https://docs.google.com/spreadsheets/d/1XL5vhW3sbDhbH9Cz0tuDiY8C3ctxq1tqvaCgkFb8cCA/edit?usp=sharing"",""ยโสธร!J528"")"),3)</f>
        <v>3</v>
      </c>
      <c r="K633" s="342">
        <f t="shared" ca="1" si="129"/>
        <v>0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IFERROR(__xludf.DUMMYFUNCTION("IMPORTRANGE(""https://docs.google.com/spreadsheets/d/1XL5vhW3sbDhbH9Cz0tuDiY8C3ctxq1tqvaCgkFb8cCA/edit?usp=sharing"",""ยโสธร!I529"")"),7700000)</f>
        <v>7700000</v>
      </c>
      <c r="J634" s="341">
        <f ca="1">IFERROR(__xludf.DUMMYFUNCTION("IMPORTRANGE(""https://docs.google.com/spreadsheets/d/1XL5vhW3sbDhbH9Cz0tuDiY8C3ctxq1tqvaCgkFb8cCA/edit?usp=sharing"",""ยโสธร!J529"")"),0)</f>
        <v>0</v>
      </c>
      <c r="K634" s="342">
        <f t="shared" ca="1" si="129"/>
        <v>0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IFERROR(__xludf.DUMMYFUNCTION("IMPORTRANGE(""https://docs.google.com/spreadsheets/d/1XL5vhW3sbDhbH9Cz0tuDiY8C3ctxq1tqvaCgkFb8cCA/edit?usp=sharing"",""ยโสธร!I530"")"),300)</f>
        <v>300</v>
      </c>
      <c r="J635" s="504">
        <f ca="1">IFERROR(__xludf.DUMMYFUNCTION("IMPORTRANGE(""https://docs.google.com/spreadsheets/d/1XL5vhW3sbDhbH9Cz0tuDiY8C3ctxq1tqvaCgkFb8cCA/edit?usp=sharing"",""ยโสธร!J530"")"),0)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49" t="s">
        <v>237</v>
      </c>
      <c r="F636" s="549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12" sqref="J12"/>
      <selection pane="bottomLeft" activeCell="G568" sqref="G568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5.36328125" bestFit="1" customWidth="1"/>
    <col min="10" max="10" width="13.906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56" t="s">
        <v>0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</row>
    <row r="2" spans="1:16" ht="18" customHeight="1" x14ac:dyDescent="0.35">
      <c r="A2" s="556" t="s">
        <v>258</v>
      </c>
      <c r="B2" s="556"/>
      <c r="C2" s="556"/>
      <c r="D2" s="556"/>
      <c r="E2" s="556"/>
      <c r="F2" s="556"/>
      <c r="G2" s="556"/>
      <c r="H2" s="556"/>
      <c r="I2" s="556"/>
      <c r="J2" s="556"/>
      <c r="K2" s="556"/>
      <c r="L2" s="556"/>
      <c r="M2" s="556"/>
      <c r="N2" s="556"/>
      <c r="O2" s="556"/>
      <c r="P2" s="556"/>
    </row>
    <row r="3" spans="1:16" ht="18" customHeight="1" x14ac:dyDescent="0.35">
      <c r="A3" s="556" t="s">
        <v>278</v>
      </c>
      <c r="B3" s="556"/>
      <c r="C3" s="556"/>
      <c r="D3" s="556"/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6"/>
      <c r="P3" s="55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79" t="s">
        <v>2</v>
      </c>
      <c r="B5" s="565"/>
      <c r="C5" s="565"/>
      <c r="D5" s="565"/>
      <c r="E5" s="565"/>
      <c r="F5" s="565"/>
      <c r="G5" s="566"/>
      <c r="H5" s="578" t="s">
        <v>3</v>
      </c>
      <c r="I5" s="559" t="s">
        <v>4</v>
      </c>
      <c r="J5" s="560"/>
      <c r="K5" s="561"/>
      <c r="L5" s="562" t="s">
        <v>5</v>
      </c>
      <c r="M5" s="561"/>
      <c r="N5" s="563" t="s">
        <v>6</v>
      </c>
      <c r="O5" s="560"/>
      <c r="P5" s="561"/>
    </row>
    <row r="6" spans="1:16" ht="21.75" customHeight="1" x14ac:dyDescent="0.35">
      <c r="A6" s="567"/>
      <c r="B6" s="568"/>
      <c r="C6" s="568"/>
      <c r="D6" s="568"/>
      <c r="E6" s="568"/>
      <c r="F6" s="568"/>
      <c r="G6" s="569"/>
      <c r="H6" s="55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80" t="s">
        <v>15</v>
      </c>
      <c r="B7" s="560"/>
      <c r="C7" s="560"/>
      <c r="D7" s="560"/>
      <c r="E7" s="560"/>
      <c r="F7" s="560"/>
      <c r="G7" s="561"/>
      <c r="H7" s="512"/>
      <c r="I7" s="513"/>
      <c r="J7" s="513"/>
      <c r="K7" s="514"/>
      <c r="L7" s="515"/>
      <c r="M7" s="514"/>
      <c r="N7" s="515"/>
      <c r="O7" s="516"/>
      <c r="P7" s="516"/>
    </row>
    <row r="8" spans="1:16" ht="21.75" customHeight="1" x14ac:dyDescent="0.45">
      <c r="A8" s="17"/>
      <c r="B8" s="18"/>
      <c r="C8" s="19" t="s">
        <v>16</v>
      </c>
      <c r="D8" s="571" t="s">
        <v>17</v>
      </c>
      <c r="E8" s="555"/>
      <c r="F8" s="555"/>
      <c r="G8" s="555"/>
      <c r="H8" s="20" t="s">
        <v>12</v>
      </c>
      <c r="I8" s="21"/>
      <c r="J8" s="21"/>
      <c r="K8" s="22"/>
      <c r="L8" s="23">
        <f t="shared" ref="L8:N8" ca="1" si="0">L9+L10</f>
        <v>6951143</v>
      </c>
      <c r="M8" s="23">
        <f t="shared" ca="1" si="0"/>
        <v>3114870</v>
      </c>
      <c r="N8" s="23">
        <f t="shared" ca="1" si="0"/>
        <v>3631580.129999999</v>
      </c>
      <c r="O8" s="22">
        <f t="shared" ref="O8:O16" ca="1" si="1">IF(L8&gt;0,N8*100/L8,0)</f>
        <v>52.244359380896043</v>
      </c>
      <c r="P8" s="22">
        <f t="shared" ref="P8:P16" ca="1" si="2">IF(M8&gt;0,N8*100/M8,0)</f>
        <v>116.58849743327968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6951143</v>
      </c>
      <c r="M10" s="30">
        <f t="shared" ca="1" si="4"/>
        <v>3114870</v>
      </c>
      <c r="N10" s="30">
        <f t="shared" ca="1" si="4"/>
        <v>3631580.129999999</v>
      </c>
      <c r="O10" s="29">
        <f t="shared" ca="1" si="1"/>
        <v>52.244359380896043</v>
      </c>
      <c r="P10" s="29">
        <f t="shared" ca="1" si="2"/>
        <v>116.58849743327968</v>
      </c>
    </row>
    <row r="11" spans="1:16" ht="21.75" customHeight="1" x14ac:dyDescent="0.45">
      <c r="A11" s="31"/>
      <c r="B11" s="32"/>
      <c r="C11" s="33" t="s">
        <v>16</v>
      </c>
      <c r="D11" s="572" t="s">
        <v>20</v>
      </c>
      <c r="E11" s="553"/>
      <c r="F11" s="55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6767143</v>
      </c>
      <c r="M12" s="38">
        <f t="shared" ca="1" si="6"/>
        <v>2930870</v>
      </c>
      <c r="N12" s="38">
        <f t="shared" ca="1" si="6"/>
        <v>3447580.129999999</v>
      </c>
      <c r="O12" s="38">
        <f t="shared" ca="1" si="1"/>
        <v>50.945873760906174</v>
      </c>
      <c r="P12" s="38">
        <f t="shared" ca="1" si="2"/>
        <v>117.62992319686641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2541100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4226043</v>
      </c>
      <c r="M14" s="38">
        <f t="shared" si="8"/>
        <v>0</v>
      </c>
      <c r="N14" s="38">
        <f t="shared" ca="1" si="8"/>
        <v>1425214.8099999989</v>
      </c>
      <c r="O14" s="38">
        <f t="shared" ca="1" si="1"/>
        <v>33.724569532302411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2" t="s">
        <v>23</v>
      </c>
      <c r="E15" s="55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184000</v>
      </c>
      <c r="M16" s="38">
        <f t="shared" ca="1" si="10"/>
        <v>184000</v>
      </c>
      <c r="N16" s="38">
        <f t="shared" ca="1" si="10"/>
        <v>184000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80" t="s">
        <v>24</v>
      </c>
      <c r="B17" s="560"/>
      <c r="C17" s="560"/>
      <c r="D17" s="560"/>
      <c r="E17" s="560"/>
      <c r="F17" s="560"/>
      <c r="G17" s="561"/>
      <c r="H17" s="512"/>
      <c r="I17" s="513"/>
      <c r="J17" s="513"/>
      <c r="K17" s="514"/>
      <c r="L17" s="515"/>
      <c r="M17" s="514"/>
      <c r="N17" s="515"/>
      <c r="O17" s="516"/>
      <c r="P17" s="516"/>
    </row>
    <row r="18" spans="1:16" ht="21.75" customHeight="1" x14ac:dyDescent="0.45">
      <c r="A18" s="17"/>
      <c r="B18" s="18"/>
      <c r="C18" s="19" t="s">
        <v>16</v>
      </c>
      <c r="D18" s="571" t="s">
        <v>17</v>
      </c>
      <c r="E18" s="555"/>
      <c r="F18" s="555"/>
      <c r="G18" s="555"/>
      <c r="H18" s="20" t="s">
        <v>12</v>
      </c>
      <c r="I18" s="21"/>
      <c r="J18" s="21"/>
      <c r="K18" s="22"/>
      <c r="L18" s="23">
        <f t="shared" ref="L18:N18" ca="1" si="11">L19+L20</f>
        <v>4064990</v>
      </c>
      <c r="M18" s="23">
        <f t="shared" ca="1" si="11"/>
        <v>3114870</v>
      </c>
      <c r="N18" s="23">
        <f t="shared" ca="1" si="11"/>
        <v>2206365.3199999998</v>
      </c>
      <c r="O18" s="22">
        <f t="shared" ref="O18:O20" ca="1" si="12">IF(L18&gt;0,N18*100/L18,0)</f>
        <v>54.277263166699051</v>
      </c>
      <c r="P18" s="22">
        <f t="shared" ref="P18:P26" ca="1" si="13">IF(M18&gt;0,N18*100/M18,0)</f>
        <v>70.833303476549574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4064990</v>
      </c>
      <c r="M20" s="30">
        <f t="shared" ca="1" si="15"/>
        <v>3114870</v>
      </c>
      <c r="N20" s="30">
        <f t="shared" ca="1" si="15"/>
        <v>2206365.3199999998</v>
      </c>
      <c r="O20" s="29">
        <f t="shared" ca="1" si="12"/>
        <v>54.277263166699051</v>
      </c>
      <c r="P20" s="29">
        <f t="shared" ca="1" si="13"/>
        <v>70.833303476549574</v>
      </c>
    </row>
    <row r="21" spans="1:16" ht="21.75" customHeight="1" x14ac:dyDescent="0.45">
      <c r="A21" s="31"/>
      <c r="B21" s="32"/>
      <c r="C21" s="33" t="s">
        <v>16</v>
      </c>
      <c r="D21" s="572" t="s">
        <v>20</v>
      </c>
      <c r="E21" s="553"/>
      <c r="F21" s="55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3880990</v>
      </c>
      <c r="M22" s="41">
        <f t="shared" ca="1" si="18"/>
        <v>2930870</v>
      </c>
      <c r="N22" s="38">
        <f t="shared" ca="1" si="18"/>
        <v>2022365.3199999998</v>
      </c>
      <c r="O22" s="38">
        <f t="shared" ca="1" si="17"/>
        <v>52.109521539607151</v>
      </c>
      <c r="P22" s="38">
        <f t="shared" ca="1" si="13"/>
        <v>69.002218453906167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2541100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1339890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2" t="s">
        <v>23</v>
      </c>
      <c r="E25" s="55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184000</v>
      </c>
      <c r="M26" s="49">
        <f t="shared" ca="1" si="22"/>
        <v>184000</v>
      </c>
      <c r="N26" s="49">
        <f t="shared" ca="1" si="22"/>
        <v>184000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80" t="s">
        <v>25</v>
      </c>
      <c r="B27" s="560"/>
      <c r="C27" s="560"/>
      <c r="D27" s="560"/>
      <c r="E27" s="560"/>
      <c r="F27" s="560"/>
      <c r="G27" s="561"/>
      <c r="H27" s="512"/>
      <c r="I27" s="513"/>
      <c r="J27" s="513"/>
      <c r="K27" s="514"/>
      <c r="L27" s="515"/>
      <c r="M27" s="514"/>
      <c r="N27" s="515"/>
      <c r="O27" s="516"/>
      <c r="P27" s="516"/>
    </row>
    <row r="28" spans="1:16" ht="21.75" customHeight="1" x14ac:dyDescent="0.45">
      <c r="A28" s="17"/>
      <c r="B28" s="18"/>
      <c r="C28" s="19" t="s">
        <v>16</v>
      </c>
      <c r="D28" s="571" t="s">
        <v>17</v>
      </c>
      <c r="E28" s="555"/>
      <c r="F28" s="555"/>
      <c r="G28" s="555"/>
      <c r="H28" s="20" t="s">
        <v>12</v>
      </c>
      <c r="I28" s="21"/>
      <c r="J28" s="21"/>
      <c r="K28" s="22"/>
      <c r="L28" s="23">
        <f t="shared" ref="L28:N28" ca="1" si="23">L29+L30</f>
        <v>2886153</v>
      </c>
      <c r="M28" s="23">
        <f t="shared" si="23"/>
        <v>0</v>
      </c>
      <c r="N28" s="23">
        <f t="shared" ca="1" si="23"/>
        <v>1425214.8099999989</v>
      </c>
      <c r="O28" s="22">
        <f t="shared" ref="O28:O30" ca="1" si="24">IF(L28&gt;0,N28*100/L28,0)</f>
        <v>49.38112463199279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2886153</v>
      </c>
      <c r="M30" s="30">
        <f t="shared" si="27"/>
        <v>0</v>
      </c>
      <c r="N30" s="30">
        <f t="shared" ca="1" si="27"/>
        <v>1425214.8099999989</v>
      </c>
      <c r="O30" s="29">
        <f t="shared" ca="1" si="24"/>
        <v>49.38112463199279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2" t="s">
        <v>20</v>
      </c>
      <c r="E31" s="553"/>
      <c r="F31" s="55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2886153</v>
      </c>
      <c r="M32" s="38">
        <f t="shared" si="30"/>
        <v>0</v>
      </c>
      <c r="N32" s="38">
        <f t="shared" ca="1" si="30"/>
        <v>1425214.8099999989</v>
      </c>
      <c r="O32" s="38">
        <f t="shared" ca="1" si="29"/>
        <v>49.38112463199279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2886153</v>
      </c>
      <c r="M34" s="38">
        <f t="shared" si="32"/>
        <v>0</v>
      </c>
      <c r="N34" s="38">
        <f t="shared" ca="1" si="32"/>
        <v>1425214.8099999989</v>
      </c>
      <c r="O34" s="38">
        <f t="shared" ca="1" si="29"/>
        <v>49.38112463199279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2" t="s">
        <v>23</v>
      </c>
      <c r="E35" s="55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4064990</v>
      </c>
      <c r="M37" s="54">
        <f t="shared" ca="1" si="33"/>
        <v>3114870</v>
      </c>
      <c r="N37" s="54">
        <f t="shared" ca="1" si="33"/>
        <v>2206365.3199999998</v>
      </c>
      <c r="O37" s="55">
        <f t="shared" ca="1" si="29"/>
        <v>54.277263166699051</v>
      </c>
      <c r="P37" s="55">
        <f t="shared" ca="1" si="25"/>
        <v>70.833303476549574</v>
      </c>
    </row>
    <row r="38" spans="1:16" ht="21.75" customHeight="1" x14ac:dyDescent="0.45">
      <c r="A38" s="581" t="s">
        <v>27</v>
      </c>
      <c r="B38" s="560"/>
      <c r="C38" s="560"/>
      <c r="D38" s="560"/>
      <c r="E38" s="560"/>
      <c r="F38" s="560"/>
      <c r="G38" s="561"/>
      <c r="H38" s="517"/>
      <c r="I38" s="518"/>
      <c r="J38" s="518"/>
      <c r="K38" s="519"/>
      <c r="L38" s="520"/>
      <c r="M38" s="520"/>
      <c r="N38" s="520"/>
      <c r="O38" s="520"/>
      <c r="P38" s="520"/>
    </row>
    <row r="39" spans="1:16" ht="21.75" customHeight="1" x14ac:dyDescent="0.45">
      <c r="A39" s="521"/>
      <c r="B39" s="582" t="s">
        <v>28</v>
      </c>
      <c r="C39" s="555"/>
      <c r="D39" s="555"/>
      <c r="E39" s="555"/>
      <c r="F39" s="555"/>
      <c r="G39" s="555"/>
      <c r="H39" s="522"/>
      <c r="I39" s="523"/>
      <c r="J39" s="523"/>
      <c r="K39" s="524"/>
      <c r="L39" s="525"/>
      <c r="M39" s="525"/>
      <c r="N39" s="525"/>
      <c r="O39" s="524"/>
      <c r="P39" s="524"/>
    </row>
    <row r="40" spans="1:16" ht="21.75" customHeight="1" x14ac:dyDescent="0.45">
      <c r="A40" s="526"/>
      <c r="B40" s="527" t="s">
        <v>29</v>
      </c>
      <c r="C40" s="528"/>
      <c r="D40" s="528"/>
      <c r="E40" s="528"/>
      <c r="F40" s="528"/>
      <c r="G40" s="528"/>
      <c r="H40" s="529"/>
      <c r="I40" s="530"/>
      <c r="J40" s="530"/>
      <c r="K40" s="531"/>
      <c r="L40" s="532"/>
      <c r="M40" s="532"/>
      <c r="N40" s="532"/>
      <c r="O40" s="531"/>
      <c r="P40" s="531"/>
    </row>
    <row r="41" spans="1:16" ht="21.75" customHeight="1" x14ac:dyDescent="0.45">
      <c r="A41" s="72"/>
      <c r="B41" s="73"/>
      <c r="C41" s="74" t="s">
        <v>16</v>
      </c>
      <c r="D41" s="575" t="s">
        <v>17</v>
      </c>
      <c r="E41" s="553"/>
      <c r="F41" s="553"/>
      <c r="G41" s="553"/>
      <c r="H41" s="75" t="s">
        <v>12</v>
      </c>
      <c r="I41" s="76"/>
      <c r="J41" s="76"/>
      <c r="K41" s="77"/>
      <c r="L41" s="78">
        <f t="shared" ref="L41:N41" ca="1" si="34">L42+L43</f>
        <v>904100</v>
      </c>
      <c r="M41" s="78">
        <f t="shared" ca="1" si="34"/>
        <v>678100</v>
      </c>
      <c r="N41" s="78">
        <f t="shared" ca="1" si="34"/>
        <v>466943.39</v>
      </c>
      <c r="O41" s="77">
        <f t="shared" ref="O41:O43" ca="1" si="35">IF(L41&gt;0,N41*100/L41,0)</f>
        <v>51.647316668510122</v>
      </c>
      <c r="P41" s="77">
        <f t="shared" ref="P41:P43" ca="1" si="36">IF(M41&gt;0,N41*100/M41,0)</f>
        <v>68.860550066361895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904100</v>
      </c>
      <c r="M43" s="78">
        <f t="shared" ca="1" si="38"/>
        <v>678100</v>
      </c>
      <c r="N43" s="78">
        <f t="shared" ca="1" si="38"/>
        <v>466943.39</v>
      </c>
      <c r="O43" s="77">
        <f t="shared" ca="1" si="35"/>
        <v>51.647316668510122</v>
      </c>
      <c r="P43" s="77">
        <f t="shared" ca="1" si="36"/>
        <v>68.860550066361895</v>
      </c>
    </row>
    <row r="44" spans="1:16" ht="21.75" customHeight="1" x14ac:dyDescent="0.45">
      <c r="A44" s="79"/>
      <c r="B44" s="80"/>
      <c r="C44" s="81" t="s">
        <v>16</v>
      </c>
      <c r="D44" s="552" t="s">
        <v>20</v>
      </c>
      <c r="E44" s="553"/>
      <c r="F44" s="55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904100</v>
      </c>
      <c r="M45" s="533">
        <f ca="1">IFERROR(__xludf.DUMMYFUNCTION("IMPORTRANGE(""https://docs.google.com/spreadsheets/d/1Yj_ptqi66GCucihVvJfMjLAmec39IyEx_6qawtMGysU/edit?usp=sharing"",""สบก!Q48"")"),678100)</f>
        <v>678100</v>
      </c>
      <c r="N45" s="533">
        <f ca="1">IFERROR(__xludf.DUMMYFUNCTION("IMPORTRANGE(""https://docs.google.com/spreadsheets/d/1Yj_ptqi66GCucihVvJfMjLAmec39IyEx_6qawtMGysU/edit?usp=sharing"",""สบก!R48"")"),466943.39)</f>
        <v>466943.39</v>
      </c>
      <c r="O45" s="534">
        <f ca="1">IF(L45&gt;0,N45*100/L45,0)</f>
        <v>51.647316668510122</v>
      </c>
      <c r="P45" s="534">
        <f ca="1">IF(M45&gt;0,N45*100/M45,0)</f>
        <v>68.860550066361895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533">
        <f ca="1">IFERROR(__xludf.DUMMYFUNCTION("IMPORTRANGE(""https://docs.google.com/spreadsheets/d/1Yj_ptqi66GCucihVvJfMjLAmec39IyEx_6qawtMGysU/edit?usp=sharing"",""สบก!M48"")"),904100)</f>
        <v>904100</v>
      </c>
      <c r="M46" s="535"/>
      <c r="N46" s="38"/>
      <c r="O46" s="534"/>
      <c r="P46" s="534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533">
        <f ca="1">IFERROR(__xludf.DUMMYFUNCTION("IMPORTRANGE(""https://docs.google.com/spreadsheets/d/1Yj_ptqi66GCucihVvJfMjLAmec39IyEx_6qawtMGysU/edit?usp=sharing"",""สบก!N48"")"),0)</f>
        <v>0</v>
      </c>
      <c r="M47" s="535"/>
      <c r="N47" s="38"/>
      <c r="O47" s="534"/>
      <c r="P47" s="534"/>
    </row>
    <row r="48" spans="1:16" ht="21.75" customHeight="1" x14ac:dyDescent="0.45">
      <c r="A48" s="79"/>
      <c r="B48" s="80"/>
      <c r="C48" s="81" t="s">
        <v>16</v>
      </c>
      <c r="D48" s="552" t="s">
        <v>23</v>
      </c>
      <c r="E48" s="55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535"/>
      <c r="N48" s="41"/>
      <c r="O48" s="535"/>
      <c r="P48" s="535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33">
        <f ca="1">IFERROR(__xludf.DUMMYFUNCTION("IMPORTRANGE(""https://docs.google.com/spreadsheets/d/1Yj_ptqi66GCucihVvJfMjLAmec39IyEx_6qawtMGysU/edit?usp=sharing"",""สบก!O48"")"),0)</f>
        <v>0</v>
      </c>
      <c r="M49" s="536"/>
      <c r="N49" s="533">
        <f ca="1">IFERROR(__xludf.DUMMYFUNCTION("IMPORTRANGE(""https://docs.google.com/spreadsheets/d/1Yj_ptqi66GCucihVvJfMjLAmec39IyEx_6qawtMGysU/edit?usp=sharing"",""สบก!S48"")"),0)</f>
        <v>0</v>
      </c>
      <c r="O49" s="536">
        <f ca="1">IF(L49&gt;0,N49*100/L49,0)</f>
        <v>0</v>
      </c>
      <c r="P49" s="536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76" t="s">
        <v>32</v>
      </c>
      <c r="C52" s="553"/>
      <c r="D52" s="553"/>
      <c r="E52" s="553"/>
      <c r="F52" s="553"/>
      <c r="G52" s="55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77" t="s">
        <v>17</v>
      </c>
      <c r="E53" s="553"/>
      <c r="F53" s="553"/>
      <c r="G53" s="553"/>
      <c r="H53" s="118" t="s">
        <v>12</v>
      </c>
      <c r="I53" s="119"/>
      <c r="J53" s="119"/>
      <c r="K53" s="120"/>
      <c r="L53" s="121">
        <f t="shared" ref="L53:N53" ca="1" si="39">L54+L55</f>
        <v>979200</v>
      </c>
      <c r="M53" s="121">
        <f t="shared" ca="1" si="39"/>
        <v>763195</v>
      </c>
      <c r="N53" s="121">
        <f t="shared" ca="1" si="39"/>
        <v>455966</v>
      </c>
      <c r="O53" s="120">
        <f t="shared" ref="O53:O55" ca="1" si="40">IF(L53&gt;0,N53*100/L53,0)</f>
        <v>46.565155228758172</v>
      </c>
      <c r="P53" s="120">
        <f t="shared" ref="P53:P55" ca="1" si="41">IF(M53&gt;0,N53*100/M53,0)</f>
        <v>59.744364153329094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979200</v>
      </c>
      <c r="M55" s="121">
        <f t="shared" ca="1" si="43"/>
        <v>763195</v>
      </c>
      <c r="N55" s="121">
        <f t="shared" ca="1" si="43"/>
        <v>455966</v>
      </c>
      <c r="O55" s="120">
        <f t="shared" ca="1" si="40"/>
        <v>46.565155228758172</v>
      </c>
      <c r="P55" s="120">
        <f t="shared" ca="1" si="41"/>
        <v>59.744364153329094</v>
      </c>
    </row>
    <row r="56" spans="1:16" ht="21.75" customHeight="1" x14ac:dyDescent="0.45">
      <c r="A56" s="79"/>
      <c r="B56" s="80"/>
      <c r="C56" s="81" t="s">
        <v>16</v>
      </c>
      <c r="D56" s="552" t="s">
        <v>20</v>
      </c>
      <c r="E56" s="553"/>
      <c r="F56" s="55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979200</v>
      </c>
      <c r="M57" s="533">
        <f ca="1">IFERROR(__xludf.DUMMYFUNCTION("IMPORTRANGE(""https://docs.google.com/spreadsheets/d/1Yj_ptqi66GCucihVvJfMjLAmec39IyEx_6qawtMGysU/edit?usp=sharing"",""สบก!Z48"")"),763195)</f>
        <v>763195</v>
      </c>
      <c r="N57" s="533">
        <f ca="1">IFERROR(__xludf.DUMMYFUNCTION("IMPORTRANGE(""https://docs.google.com/spreadsheets/d/1Yj_ptqi66GCucihVvJfMjLAmec39IyEx_6qawtMGysU/edit?usp=sharing"",""สบก!AA48"")"),455966)</f>
        <v>455966</v>
      </c>
      <c r="O57" s="534">
        <f ca="1">IF(L57&gt;0,N57*100/L57,0)</f>
        <v>46.565155228758172</v>
      </c>
      <c r="P57" s="534">
        <f ca="1">IF(M57&gt;0,N57*100/M57,0)</f>
        <v>59.744364153329094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533">
        <f ca="1">IFERROR(__xludf.DUMMYFUNCTION("IMPORTRANGE(""https://docs.google.com/spreadsheets/d/1Yj_ptqi66GCucihVvJfMjLAmec39IyEx_6qawtMGysU/edit?usp=sharing"",""สบก!V48"")"),979200)</f>
        <v>979200</v>
      </c>
      <c r="M58" s="535"/>
      <c r="N58" s="38"/>
      <c r="O58" s="534"/>
      <c r="P58" s="534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533">
        <f ca="1">IFERROR(__xludf.DUMMYFUNCTION("IMPORTRANGE(""https://docs.google.com/spreadsheets/d/1Yj_ptqi66GCucihVvJfMjLAmec39IyEx_6qawtMGysU/edit?usp=sharing"",""สบก!W48"")"),0)</f>
        <v>0</v>
      </c>
      <c r="M59" s="535"/>
      <c r="N59" s="38"/>
      <c r="O59" s="534"/>
      <c r="P59" s="534"/>
    </row>
    <row r="60" spans="1:16" ht="21.75" customHeight="1" x14ac:dyDescent="0.45">
      <c r="A60" s="79"/>
      <c r="B60" s="80"/>
      <c r="C60" s="81" t="s">
        <v>16</v>
      </c>
      <c r="D60" s="552" t="s">
        <v>23</v>
      </c>
      <c r="E60" s="55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535"/>
      <c r="N60" s="41"/>
      <c r="O60" s="535"/>
      <c r="P60" s="535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33">
        <f ca="1">IFERROR(__xludf.DUMMYFUNCTION("IMPORTRANGE(""https://docs.google.com/spreadsheets/d/1Yj_ptqi66GCucihVvJfMjLAmec39IyEx_6qawtMGysU/edit?usp=sharing"",""สบก!X48"")"),0)</f>
        <v>0</v>
      </c>
      <c r="M61" s="536"/>
      <c r="N61" s="533">
        <f ca="1">IFERROR(__xludf.DUMMYFUNCTION("IMPORTRANGE(""https://docs.google.com/spreadsheets/d/1Yj_ptqi66GCucihVvJfMjLAmec39IyEx_6qawtMGysU/edit?usp=sharing"",""สบก!AB48"")"),0)</f>
        <v>0</v>
      </c>
      <c r="O61" s="536">
        <f ca="1">IF(L61&gt;0,N61*100/L61,0)</f>
        <v>0</v>
      </c>
      <c r="P61" s="536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IFERROR(__xludf.DUMMYFUNCTION("IMPORTRANGE(""https://docs.google.com/spreadsheets/d/1XL5vhW3sbDhbH9Cz0tuDiY8C3ctxq1tqvaCgkFb8cCA/edit?usp=sharing"",""ร้อยเอ็ด!I9"")"),1)</f>
        <v>1</v>
      </c>
      <c r="J64" s="142">
        <f ca="1">IFERROR(__xludf.DUMMYFUNCTION("IMPORTRANGE(""https://docs.google.com/spreadsheets/d/1XL5vhW3sbDhbH9Cz0tuDiY8C3ctxq1tqvaCgkFb8cCA/edit?usp=sharing"",""ร้อยเอ็ด!J9"")"),1)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IFERROR(__xludf.DUMMYFUNCTION("IMPORTRANGE(""https://docs.google.com/spreadsheets/d/1XL5vhW3sbDhbH9Cz0tuDiY8C3ctxq1tqvaCgkFb8cCA/edit?usp=sharing"",""ร้อยเอ็ด!I10"")"),40)</f>
        <v>40</v>
      </c>
      <c r="J65" s="142">
        <f ca="1">IFERROR(__xludf.DUMMYFUNCTION("IMPORTRANGE(""https://docs.google.com/spreadsheets/d/1XL5vhW3sbDhbH9Cz0tuDiY8C3ctxq1tqvaCgkFb8cCA/edit?usp=sharing"",""ร้อยเอ็ด!J10"")"),40)</f>
        <v>40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54" t="s">
        <v>17</v>
      </c>
      <c r="E66" s="555"/>
      <c r="F66" s="555"/>
      <c r="G66" s="555"/>
      <c r="H66" s="149" t="s">
        <v>12</v>
      </c>
      <c r="I66" s="150"/>
      <c r="J66" s="150"/>
      <c r="K66" s="151"/>
      <c r="L66" s="152">
        <f t="shared" ref="L66:N66" ca="1" si="45">L67+L68</f>
        <v>887400</v>
      </c>
      <c r="M66" s="152">
        <f t="shared" ca="1" si="45"/>
        <v>709120</v>
      </c>
      <c r="N66" s="152">
        <f t="shared" ca="1" si="45"/>
        <v>504189.53</v>
      </c>
      <c r="O66" s="151">
        <f t="shared" ref="O66:O68" ca="1" si="46">IF(L66&gt;0,N66*100/L66,0)</f>
        <v>56.816489745323416</v>
      </c>
      <c r="P66" s="151">
        <f t="shared" ref="P66:P68" ca="1" si="47">IF(M66&gt;0,N66*100/M66,0)</f>
        <v>71.10073471344765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887400</v>
      </c>
      <c r="M68" s="157">
        <f t="shared" ca="1" si="49"/>
        <v>709120</v>
      </c>
      <c r="N68" s="157">
        <f t="shared" ca="1" si="49"/>
        <v>504189.53</v>
      </c>
      <c r="O68" s="156">
        <f t="shared" ca="1" si="46"/>
        <v>56.816489745323416</v>
      </c>
      <c r="P68" s="156">
        <f t="shared" ca="1" si="47"/>
        <v>71.10073471344765</v>
      </c>
    </row>
    <row r="69" spans="1:16" ht="21.75" customHeight="1" x14ac:dyDescent="0.45">
      <c r="A69" s="158"/>
      <c r="B69" s="159"/>
      <c r="C69" s="159" t="s">
        <v>16</v>
      </c>
      <c r="D69" s="552" t="s">
        <v>20</v>
      </c>
      <c r="E69" s="553"/>
      <c r="F69" s="55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887400</v>
      </c>
      <c r="M70" s="537">
        <f ca="1">IFERROR(__xludf.DUMMYFUNCTION("IMPORTRANGE(""https://docs.google.com/spreadsheets/d/1Yj_ptqi66GCucihVvJfMjLAmec39IyEx_6qawtMGysU/edit?usp=sharing"",""สบก!AI48"")"),709120)</f>
        <v>709120</v>
      </c>
      <c r="N70" s="538">
        <f ca="1">IFERROR(__xludf.DUMMYFUNCTION("IMPORTRANGE(""https://docs.google.com/spreadsheets/d/1Yj_ptqi66GCucihVvJfMjLAmec39IyEx_6qawtMGysU/edit?usp=sharing"",""สบก!AJ48"")"),504189.53)</f>
        <v>504189.53</v>
      </c>
      <c r="O70" s="169">
        <f ca="1">IF(L70&gt;0,N70*100/L70,0)</f>
        <v>56.816489745323416</v>
      </c>
      <c r="P70" s="169">
        <f ca="1">IF(M70&gt;0,N70*100/M70,0)</f>
        <v>71.10073471344765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537">
        <f ca="1">IFERROR(__xludf.DUMMYFUNCTION("IMPORTRANGE(""https://docs.google.com/spreadsheets/d/1Yj_ptqi66GCucihVvJfMjLAmec39IyEx_6qawtMGysU/edit?usp=sharing"",""สบก!AE48"")"),463400)</f>
        <v>463400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537">
        <f ca="1">IFERROR(__xludf.DUMMYFUNCTION("IMPORTRANGE(""https://docs.google.com/spreadsheets/d/1Yj_ptqi66GCucihVvJfMjLAmec39IyEx_6qawtMGysU/edit?usp=sharing"",""สบก!AF48"")"),424000)</f>
        <v>424000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52" t="s">
        <v>23</v>
      </c>
      <c r="E73" s="553"/>
      <c r="F73" s="89"/>
      <c r="G73" s="82" t="s">
        <v>18</v>
      </c>
      <c r="H73" s="172" t="s">
        <v>12</v>
      </c>
      <c r="I73" s="84"/>
      <c r="J73" s="84"/>
      <c r="K73" s="85"/>
      <c r="L73" s="535">
        <v>0</v>
      </c>
      <c r="M73" s="535"/>
      <c r="N73" s="41"/>
      <c r="O73" s="535"/>
      <c r="P73" s="535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533">
        <f ca="1">IFERROR(__xludf.DUMMYFUNCTION("IMPORTRANGE(""https://docs.google.com/spreadsheets/d/1Yj_ptqi66GCucihVvJfMjLAmec39IyEx_6qawtMGysU/edit?usp=sharing"",""สบก!AG48"")"),0)</f>
        <v>0</v>
      </c>
      <c r="M74" s="536"/>
      <c r="N74" s="533">
        <f ca="1">IFERROR(__xludf.DUMMYFUNCTION("IMPORTRANGE(""https://docs.google.com/spreadsheets/d/1Yj_ptqi66GCucihVvJfMjLAmec39IyEx_6qawtMGysU/edit?usp=sharing"",""สบก!AK48"")"),0)</f>
        <v>0</v>
      </c>
      <c r="O74" s="536">
        <f ca="1">IF(L74&gt;0,N74*100/L74,0)</f>
        <v>0</v>
      </c>
      <c r="P74" s="536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IFERROR(__xludf.DUMMYFUNCTION("IMPORTRANGE(""https://docs.google.com/spreadsheets/d/1XL5vhW3sbDhbH9Cz0tuDiY8C3ctxq1tqvaCgkFb8cCA/edit?usp=sharing"",""ร้อยเอ็ด!J16"")"),0)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IFERROR(__xludf.DUMMYFUNCTION("IMPORTRANGE(""https://docs.google.com/spreadsheets/d/1XL5vhW3sbDhbH9Cz0tuDiY8C3ctxq1tqvaCgkFb8cCA/edit?usp=sharing"",""ร้อยเอ็ด!J17"")"),1)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IFERROR(__xludf.DUMMYFUNCTION("IMPORTRANGE(""https://docs.google.com/spreadsheets/d/1XL5vhW3sbDhbH9Cz0tuDiY8C3ctxq1tqvaCgkFb8cCA/edit?usp=sharing"",""ร้อยเอ็ด!J18"")"),1)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IFERROR(__xludf.DUMMYFUNCTION("IMPORTRANGE(""https://docs.google.com/spreadsheets/d/1XL5vhW3sbDhbH9Cz0tuDiY8C3ctxq1tqvaCgkFb8cCA/edit?usp=sharing"",""ร้อยเอ็ด!J19"")"),1)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IFERROR(__xludf.DUMMYFUNCTION("IMPORTRANGE(""https://docs.google.com/spreadsheets/d/1XL5vhW3sbDhbH9Cz0tuDiY8C3ctxq1tqvaCgkFb8cCA/edit?usp=sharing"",""ร้อยเอ็ด!I20"")"),1)</f>
        <v>1</v>
      </c>
      <c r="J80" s="201">
        <f ca="1">IFERROR(__xludf.DUMMYFUNCTION("IMPORTRANGE(""https://docs.google.com/spreadsheets/d/1XL5vhW3sbDhbH9Cz0tuDiY8C3ctxq1tqvaCgkFb8cCA/edit?usp=sharing"",""ร้อยเอ็ด!J20"")"),1)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IFERROR(__xludf.DUMMYFUNCTION("IMPORTRANGE(""https://docs.google.com/spreadsheets/d/1XL5vhW3sbDhbH9Cz0tuDiY8C3ctxq1tqvaCgkFb8cCA/edit?usp=sharing"",""ร้อยเอ็ด!I21"")"),40)</f>
        <v>40</v>
      </c>
      <c r="J81" s="201">
        <f ca="1">IFERROR(__xludf.DUMMYFUNCTION("IMPORTRANGE(""https://docs.google.com/spreadsheets/d/1XL5vhW3sbDhbH9Cz0tuDiY8C3ctxq1tqvaCgkFb8cCA/edit?usp=sharing"",""ร้อยเอ็ด!J21"")"),40)</f>
        <v>40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IFERROR(__xludf.DUMMYFUNCTION("IMPORTRANGE(""https://docs.google.com/spreadsheets/d/1XL5vhW3sbDhbH9Cz0tuDiY8C3ctxq1tqvaCgkFb8cCA/edit?usp=sharing"",""ร้อยเอ็ด!I22"")"),0)</f>
        <v>0</v>
      </c>
      <c r="J82" s="204">
        <f ca="1">IFERROR(__xludf.DUMMYFUNCTION("IMPORTRANGE(""https://docs.google.com/spreadsheets/d/1XL5vhW3sbDhbH9Cz0tuDiY8C3ctxq1tqvaCgkFb8cCA/edit?usp=sharing"",""ร้อยเอ็ด!J22"")"),0)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IFERROR(__xludf.DUMMYFUNCTION("IMPORTRANGE(""https://docs.google.com/spreadsheets/d/1XL5vhW3sbDhbH9Cz0tuDiY8C3ctxq1tqvaCgkFb8cCA/edit?usp=sharing"",""ร้อยเอ็ด!I23"")"),0)</f>
        <v>0</v>
      </c>
      <c r="J83" s="204">
        <f ca="1">IFERROR(__xludf.DUMMYFUNCTION("IMPORTRANGE(""https://docs.google.com/spreadsheets/d/1XL5vhW3sbDhbH9Cz0tuDiY8C3ctxq1tqvaCgkFb8cCA/edit?usp=sharing"",""ร้อยเอ็ด!J23"")"),0)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IFERROR(__xludf.DUMMYFUNCTION("IMPORTRANGE(""https://docs.google.com/spreadsheets/d/1XL5vhW3sbDhbH9Cz0tuDiY8C3ctxq1tqvaCgkFb8cCA/edit?usp=sharing"",""ร้อยเอ็ด!I24"")"),1)</f>
        <v>1</v>
      </c>
      <c r="J84" s="189">
        <f ca="1">IFERROR(__xludf.DUMMYFUNCTION("IMPORTRANGE(""https://docs.google.com/spreadsheets/d/1XL5vhW3sbDhbH9Cz0tuDiY8C3ctxq1tqvaCgkFb8cCA/edit?usp=sharing"",""ร้อยเอ็ด!J24"")"),1)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IFERROR(__xludf.DUMMYFUNCTION("IMPORTRANGE(""https://docs.google.com/spreadsheets/d/1XL5vhW3sbDhbH9Cz0tuDiY8C3ctxq1tqvaCgkFb8cCA/edit?usp=sharing"",""ร้อยเอ็ด!I25"")"),40)</f>
        <v>40</v>
      </c>
      <c r="J85" s="189">
        <f ca="1">IFERROR(__xludf.DUMMYFUNCTION("IMPORTRANGE(""https://docs.google.com/spreadsheets/d/1XL5vhW3sbDhbH9Cz0tuDiY8C3ctxq1tqvaCgkFb8cCA/edit?usp=sharing"",""ร้อยเอ็ด!J25"")"),40)</f>
        <v>40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IFERROR(__xludf.DUMMYFUNCTION("IMPORTRANGE(""https://docs.google.com/spreadsheets/d/1XL5vhW3sbDhbH9Cz0tuDiY8C3ctxq1tqvaCgkFb8cCA/edit?usp=sharing"",""ร้อยเอ็ด!I26"")"),0)</f>
        <v>0</v>
      </c>
      <c r="J86" s="204">
        <f ca="1">IFERROR(__xludf.DUMMYFUNCTION("IMPORTRANGE(""https://docs.google.com/spreadsheets/d/1XL5vhW3sbDhbH9Cz0tuDiY8C3ctxq1tqvaCgkFb8cCA/edit?usp=sharing"",""ร้อยเอ็ด!J26"")"),0)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IFERROR(__xludf.DUMMYFUNCTION("IMPORTRANGE(""https://docs.google.com/spreadsheets/d/1XL5vhW3sbDhbH9Cz0tuDiY8C3ctxq1tqvaCgkFb8cCA/edit?usp=sharing"",""ร้อยเอ็ด!I27"")"),0)</f>
        <v>0</v>
      </c>
      <c r="J87" s="204">
        <f ca="1">IFERROR(__xludf.DUMMYFUNCTION("IMPORTRANGE(""https://docs.google.com/spreadsheets/d/1XL5vhW3sbDhbH9Cz0tuDiY8C3ctxq1tqvaCgkFb8cCA/edit?usp=sharing"",""ร้อยเอ็ด!J27"")"),0)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IFERROR(__xludf.DUMMYFUNCTION("IMPORTRANGE(""https://docs.google.com/spreadsheets/d/1XL5vhW3sbDhbH9Cz0tuDiY8C3ctxq1tqvaCgkFb8cCA/edit?usp=sharing"",""ร้อยเอ็ด!I28"")"),0)</f>
        <v>0</v>
      </c>
      <c r="J88" s="204">
        <f ca="1">IFERROR(__xludf.DUMMYFUNCTION("IMPORTRANGE(""https://docs.google.com/spreadsheets/d/1XL5vhW3sbDhbH9Cz0tuDiY8C3ctxq1tqvaCgkFb8cCA/edit?usp=sharing"",""ร้อยเอ็ด!J28"")"),0)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IFERROR(__xludf.DUMMYFUNCTION("IMPORTRANGE(""https://docs.google.com/spreadsheets/d/1XL5vhW3sbDhbH9Cz0tuDiY8C3ctxq1tqvaCgkFb8cCA/edit?usp=sharing"",""ร้อยเอ็ด!J29"")"),1)</f>
        <v>1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IFERROR(__xludf.DUMMYFUNCTION("IMPORTRANGE(""https://docs.google.com/spreadsheets/d/1XL5vhW3sbDhbH9Cz0tuDiY8C3ctxq1tqvaCgkFb8cCA/edit?usp=sharing"",""ร้อยเอ็ด!J30"")"),0)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IFERROR(__xludf.DUMMYFUNCTION("IMPORTRANGE(""https://docs.google.com/spreadsheets/d/1XL5vhW3sbDhbH9Cz0tuDiY8C3ctxq1tqvaCgkFb8cCA/edit?usp=sharing"",""ร้อยเอ็ด!I32"")"),0)</f>
        <v>0</v>
      </c>
      <c r="J92" s="142">
        <f ca="1">IFERROR(__xludf.DUMMYFUNCTION("IMPORTRANGE(""https://docs.google.com/spreadsheets/d/1XL5vhW3sbDhbH9Cz0tuDiY8C3ctxq1tqvaCgkFb8cCA/edit?usp=sharing"",""ร้อยเอ็ด!J32"")"),0)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IFERROR(__xludf.DUMMYFUNCTION("IMPORTRANGE(""https://docs.google.com/spreadsheets/d/1XL5vhW3sbDhbH9Cz0tuDiY8C3ctxq1tqvaCgkFb8cCA/edit?usp=sharing"",""ร้อยเอ็ด!I33"")"),0)</f>
        <v>0</v>
      </c>
      <c r="J93" s="142">
        <f ca="1">IFERROR(__xludf.DUMMYFUNCTION("IMPORTRANGE(""https://docs.google.com/spreadsheets/d/1XL5vhW3sbDhbH9Cz0tuDiY8C3ctxq1tqvaCgkFb8cCA/edit?usp=sharing"",""ร้อยเอ็ด!J33"")"),0)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54" t="s">
        <v>17</v>
      </c>
      <c r="E94" s="555"/>
      <c r="F94" s="555"/>
      <c r="G94" s="55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52" t="s">
        <v>20</v>
      </c>
      <c r="E97" s="553"/>
      <c r="F97" s="55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537">
        <f ca="1">IFERROR(__xludf.DUMMYFUNCTION("IMPORTRANGE(""https://docs.google.com/spreadsheets/d/1Yj_ptqi66GCucihVvJfMjLAmec39IyEx_6qawtMGysU/edit?usp=sharing"",""สบก!AR48"")"),0)</f>
        <v>0</v>
      </c>
      <c r="N98" s="538">
        <f ca="1">IFERROR(__xludf.DUMMYFUNCTION("IMPORTRANGE(""https://docs.google.com/spreadsheets/d/1Yj_ptqi66GCucihVvJfMjLAmec39IyEx_6qawtMGysU/edit?usp=sharing"",""สบก!AS48"")"),0)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537">
        <f ca="1">IFERROR(__xludf.DUMMYFUNCTION("IMPORTRANGE(""https://docs.google.com/spreadsheets/d/1Yj_ptqi66GCucihVvJfMjLAmec39IyEx_6qawtMGysU/edit?usp=sharing"",""สบก!AN48"")"),0)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537">
        <f ca="1">IFERROR(__xludf.DUMMYFUNCTION("IMPORTRANGE(""https://docs.google.com/spreadsheets/d/1Yj_ptqi66GCucihVvJfMjLAmec39IyEx_6qawtMGysU/edit?usp=sharing"",""สบก!AO48"")"),0)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52" t="s">
        <v>23</v>
      </c>
      <c r="E101" s="553"/>
      <c r="F101" s="89"/>
      <c r="G101" s="82" t="s">
        <v>18</v>
      </c>
      <c r="H101" s="172" t="s">
        <v>12</v>
      </c>
      <c r="I101" s="188"/>
      <c r="J101" s="188"/>
      <c r="K101" s="224"/>
      <c r="L101" s="535">
        <v>0</v>
      </c>
      <c r="M101" s="535"/>
      <c r="N101" s="41"/>
      <c r="O101" s="535"/>
      <c r="P101" s="535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533">
        <f ca="1">IFERROR(__xludf.DUMMYFUNCTION("IMPORTRANGE(""https://docs.google.com/spreadsheets/d/1Yj_ptqi66GCucihVvJfMjLAmec39IyEx_6qawtMGysU/edit?usp=sharing"",""สบก!AP48"")"),0)</f>
        <v>0</v>
      </c>
      <c r="M102" s="536"/>
      <c r="N102" s="533">
        <f ca="1">IFERROR(__xludf.DUMMYFUNCTION("IMPORTRANGE(""https://docs.google.com/spreadsheets/d/1Yj_ptqi66GCucihVvJfMjLAmec39IyEx_6qawtMGysU/edit?usp=sharing"",""สบก!AT48"")"),0)</f>
        <v>0</v>
      </c>
      <c r="O102" s="536">
        <f ca="1">IF(L102&gt;0,N102*100/L102,0)</f>
        <v>0</v>
      </c>
      <c r="P102" s="536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IFERROR(__xludf.DUMMYFUNCTION("IMPORTRANGE(""https://docs.google.com/spreadsheets/d/1XL5vhW3sbDhbH9Cz0tuDiY8C3ctxq1tqvaCgkFb8cCA/edit?usp=sharing"",""ร้อยเอ็ด!J39"")"),0)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IFERROR(__xludf.DUMMYFUNCTION("IMPORTRANGE(""https://docs.google.com/spreadsheets/d/1XL5vhW3sbDhbH9Cz0tuDiY8C3ctxq1tqvaCgkFb8cCA/edit?usp=sharing"",""ร้อยเอ็ด!J40"")"),0)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IFERROR(__xludf.DUMMYFUNCTION("IMPORTRANGE(""https://docs.google.com/spreadsheets/d/1XL5vhW3sbDhbH9Cz0tuDiY8C3ctxq1tqvaCgkFb8cCA/edit?usp=sharing"",""ร้อยเอ็ด!J41"")"),0)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IFERROR(__xludf.DUMMYFUNCTION("IMPORTRANGE(""https://docs.google.com/spreadsheets/d/1XL5vhW3sbDhbH9Cz0tuDiY8C3ctxq1tqvaCgkFb8cCA/edit?usp=sharing"",""ร้อยเอ็ด!J42"")"),0)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IFERROR(__xludf.DUMMYFUNCTION("IMPORTRANGE(""https://docs.google.com/spreadsheets/d/1XL5vhW3sbDhbH9Cz0tuDiY8C3ctxq1tqvaCgkFb8cCA/edit?usp=sharing"",""ร้อยเอ็ด!I43"")"),0)</f>
        <v>0</v>
      </c>
      <c r="J108" s="204">
        <f ca="1">IFERROR(__xludf.DUMMYFUNCTION("IMPORTRANGE(""https://docs.google.com/spreadsheets/d/1XL5vhW3sbDhbH9Cz0tuDiY8C3ctxq1tqvaCgkFb8cCA/edit?usp=sharing"",""ร้อยเอ็ด!J43"")"),0)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IFERROR(__xludf.DUMMYFUNCTION("IMPORTRANGE(""https://docs.google.com/spreadsheets/d/1XL5vhW3sbDhbH9Cz0tuDiY8C3ctxq1tqvaCgkFb8cCA/edit?usp=sharing"",""ร้อยเอ็ด!I44"")"),0)</f>
        <v>0</v>
      </c>
      <c r="J109" s="204">
        <f ca="1">IFERROR(__xludf.DUMMYFUNCTION("IMPORTRANGE(""https://docs.google.com/spreadsheets/d/1XL5vhW3sbDhbH9Cz0tuDiY8C3ctxq1tqvaCgkFb8cCA/edit?usp=sharing"",""ร้อยเอ็ด!J44"")"),0)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IFERROR(__xludf.DUMMYFUNCTION("IMPORTRANGE(""https://docs.google.com/spreadsheets/d/1XL5vhW3sbDhbH9Cz0tuDiY8C3ctxq1tqvaCgkFb8cCA/edit?usp=sharing"",""ร้อยเอ็ด!I45"")"),0)</f>
        <v>0</v>
      </c>
      <c r="J110" s="204">
        <f ca="1">IFERROR(__xludf.DUMMYFUNCTION("IMPORTRANGE(""https://docs.google.com/spreadsheets/d/1XL5vhW3sbDhbH9Cz0tuDiY8C3ctxq1tqvaCgkFb8cCA/edit?usp=sharing"",""ร้อยเอ็ด!J45"")"),0)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IFERROR(__xludf.DUMMYFUNCTION("IMPORTRANGE(""https://docs.google.com/spreadsheets/d/1XL5vhW3sbDhbH9Cz0tuDiY8C3ctxq1tqvaCgkFb8cCA/edit?usp=sharing"",""ร้อยเอ็ด!I46"")"),0)</f>
        <v>0</v>
      </c>
      <c r="J111" s="204">
        <f ca="1">IFERROR(__xludf.DUMMYFUNCTION("IMPORTRANGE(""https://docs.google.com/spreadsheets/d/1XL5vhW3sbDhbH9Cz0tuDiY8C3ctxq1tqvaCgkFb8cCA/edit?usp=sharing"",""ร้อยเอ็ด!J46"")"),0)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IFERROR(__xludf.DUMMYFUNCTION("IMPORTRANGE(""https://docs.google.com/spreadsheets/d/1XL5vhW3sbDhbH9Cz0tuDiY8C3ctxq1tqvaCgkFb8cCA/edit?usp=sharing"",""ร้อยเอ็ด!I47"")"),0)</f>
        <v>0</v>
      </c>
      <c r="J112" s="204">
        <f ca="1">IFERROR(__xludf.DUMMYFUNCTION("IMPORTRANGE(""https://docs.google.com/spreadsheets/d/1XL5vhW3sbDhbH9Cz0tuDiY8C3ctxq1tqvaCgkFb8cCA/edit?usp=sharing"",""ร้อยเอ็ด!J47"")"),0)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IFERROR(__xludf.DUMMYFUNCTION("IMPORTRANGE(""https://docs.google.com/spreadsheets/d/1XL5vhW3sbDhbH9Cz0tuDiY8C3ctxq1tqvaCgkFb8cCA/edit?usp=sharing"",""ร้อยเอ็ด!I48"")"),0)</f>
        <v>0</v>
      </c>
      <c r="J113" s="204">
        <f ca="1">IFERROR(__xludf.DUMMYFUNCTION("IMPORTRANGE(""https://docs.google.com/spreadsheets/d/1XL5vhW3sbDhbH9Cz0tuDiY8C3ctxq1tqvaCgkFb8cCA/edit?usp=sharing"",""ร้อยเอ็ด!J48"")"),0)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IFERROR(__xludf.DUMMYFUNCTION("IMPORTRANGE(""https://docs.google.com/spreadsheets/d/1XL5vhW3sbDhbH9Cz0tuDiY8C3ctxq1tqvaCgkFb8cCA/edit?usp=sharing"",""ร้อยเอ็ด!J49"")"),0)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IFERROR(__xludf.DUMMYFUNCTION("IMPORTRANGE(""https://docs.google.com/spreadsheets/d/1XL5vhW3sbDhbH9Cz0tuDiY8C3ctxq1tqvaCgkFb8cCA/edit?usp=sharing"",""ร้อยเอ็ด!J50"")"),0)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IFERROR(__xludf.DUMMYFUNCTION("IMPORTRANGE(""https://docs.google.com/spreadsheets/d/1XL5vhW3sbDhbH9Cz0tuDiY8C3ctxq1tqvaCgkFb8cCA/edit?usp=sharing"",""ร้อยเอ็ด!I52"")"),0)</f>
        <v>0</v>
      </c>
      <c r="J117" s="142">
        <f ca="1">IFERROR(__xludf.DUMMYFUNCTION("IMPORTRANGE(""https://docs.google.com/spreadsheets/d/1XL5vhW3sbDhbH9Cz0tuDiY8C3ctxq1tqvaCgkFb8cCA/edit?usp=sharing"",""ร้อยเอ็ด!J52"")"),0)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54" t="s">
        <v>17</v>
      </c>
      <c r="E118" s="555"/>
      <c r="F118" s="555"/>
      <c r="G118" s="55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52" t="s">
        <v>20</v>
      </c>
      <c r="E121" s="553"/>
      <c r="F121" s="55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537">
        <f ca="1">IFERROR(__xludf.DUMMYFUNCTION("IMPORTRANGE(""https://docs.google.com/spreadsheets/d/1Yj_ptqi66GCucihVvJfMjLAmec39IyEx_6qawtMGysU/edit?usp=sharing"",""สบก!BA48"")"),0)</f>
        <v>0</v>
      </c>
      <c r="N122" s="538">
        <f ca="1">IFERROR(__xludf.DUMMYFUNCTION("IMPORTRANGE(""https://docs.google.com/spreadsheets/d/1Yj_ptqi66GCucihVvJfMjLAmec39IyEx_6qawtMGysU/edit?usp=sharing"",""สบก!BB48"")"),0)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537">
        <f ca="1">IFERROR(__xludf.DUMMYFUNCTION("IMPORTRANGE(""https://docs.google.com/spreadsheets/d/1Yj_ptqi66GCucihVvJfMjLAmec39IyEx_6qawtMGysU/edit?usp=sharing"",""สบก!AW48"")"),0)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537">
        <f ca="1">IFERROR(__xludf.DUMMYFUNCTION("IMPORTRANGE(""https://docs.google.com/spreadsheets/d/1Yj_ptqi66GCucihVvJfMjLAmec39IyEx_6qawtMGysU/edit?usp=sharing"",""สบก!AX48"")"),0)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52" t="s">
        <v>23</v>
      </c>
      <c r="E125" s="553"/>
      <c r="F125" s="89"/>
      <c r="G125" s="82" t="s">
        <v>18</v>
      </c>
      <c r="H125" s="172" t="s">
        <v>12</v>
      </c>
      <c r="I125" s="188"/>
      <c r="J125" s="188"/>
      <c r="K125" s="224"/>
      <c r="L125" s="535">
        <v>0</v>
      </c>
      <c r="M125" s="535"/>
      <c r="N125" s="41"/>
      <c r="O125" s="535"/>
      <c r="P125" s="535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533">
        <f ca="1">IFERROR(__xludf.DUMMYFUNCTION("IMPORTRANGE(""https://docs.google.com/spreadsheets/d/1Yj_ptqi66GCucihVvJfMjLAmec39IyEx_6qawtMGysU/edit?usp=sharing"",""สบก!AY48"")"),0)</f>
        <v>0</v>
      </c>
      <c r="M126" s="536"/>
      <c r="N126" s="533">
        <f ca="1">IFERROR(__xludf.DUMMYFUNCTION("IMPORTRANGE(""https://docs.google.com/spreadsheets/d/1Yj_ptqi66GCucihVvJfMjLAmec39IyEx_6qawtMGysU/edit?usp=sharing"",""สบก!BC48"")"),0)</f>
        <v>0</v>
      </c>
      <c r="O126" s="536">
        <f ca="1">IF(L126&gt;0,N126*100/L126,0)</f>
        <v>0</v>
      </c>
      <c r="P126" s="536"/>
    </row>
    <row r="127" spans="1:16" ht="21.75" customHeight="1" x14ac:dyDescent="0.35">
      <c r="A127" s="176"/>
      <c r="B127" s="177"/>
      <c r="C127" s="159" t="s">
        <v>16</v>
      </c>
      <c r="D127" s="233" t="s">
        <v>259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IFERROR(__xludf.DUMMYFUNCTION("IMPORTRANGE(""https://docs.google.com/spreadsheets/d/1XL5vhW3sbDhbH9Cz0tuDiY8C3ctxq1tqvaCgkFb8cCA/edit?usp=sharing"",""ร้อยเอ็ด!J58"")"),0)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IFERROR(__xludf.DUMMYFUNCTION("IMPORTRANGE(""https://docs.google.com/spreadsheets/d/1XL5vhW3sbDhbH9Cz0tuDiY8C3ctxq1tqvaCgkFb8cCA/edit?usp=sharing"",""ร้อยเอ็ด!J59"")"),0)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IFERROR(__xludf.DUMMYFUNCTION("IMPORTRANGE(""https://docs.google.com/spreadsheets/d/1XL5vhW3sbDhbH9Cz0tuDiY8C3ctxq1tqvaCgkFb8cCA/edit?usp=sharing"",""ร้อยเอ็ด!J60"")"),0)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IFERROR(__xludf.DUMMYFUNCTION("IMPORTRANGE(""https://docs.google.com/spreadsheets/d/1XL5vhW3sbDhbH9Cz0tuDiY8C3ctxq1tqvaCgkFb8cCA/edit?usp=sharing"",""ร้อยเอ็ด!J61"")"),0)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IFERROR(__xludf.DUMMYFUNCTION("IMPORTRANGE(""https://docs.google.com/spreadsheets/d/1XL5vhW3sbDhbH9Cz0tuDiY8C3ctxq1tqvaCgkFb8cCA/edit?usp=sharing"",""ร้อยเอ็ด!I62"")"),0)</f>
        <v>0</v>
      </c>
      <c r="J132" s="204">
        <f ca="1">IFERROR(__xludf.DUMMYFUNCTION("IMPORTRANGE(""https://docs.google.com/spreadsheets/d/1XL5vhW3sbDhbH9Cz0tuDiY8C3ctxq1tqvaCgkFb8cCA/edit?usp=sharing"",""ร้อยเอ็ด!J62"")"),0)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IFERROR(__xludf.DUMMYFUNCTION("IMPORTRANGE(""https://docs.google.com/spreadsheets/d/1XL5vhW3sbDhbH9Cz0tuDiY8C3ctxq1tqvaCgkFb8cCA/edit?usp=sharing"",""ร้อยเอ็ด!I63"")"),0)</f>
        <v>0</v>
      </c>
      <c r="J133" s="204">
        <f ca="1">IFERROR(__xludf.DUMMYFUNCTION("IMPORTRANGE(""https://docs.google.com/spreadsheets/d/1XL5vhW3sbDhbH9Cz0tuDiY8C3ctxq1tqvaCgkFb8cCA/edit?usp=sharing"",""ร้อยเอ็ด!J63"")"),0)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IFERROR(__xludf.DUMMYFUNCTION("IMPORTRANGE(""https://docs.google.com/spreadsheets/d/1XL5vhW3sbDhbH9Cz0tuDiY8C3ctxq1tqvaCgkFb8cCA/edit?usp=sharing"",""ร้อยเอ็ด!J64"")"),0)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IFERROR(__xludf.DUMMYFUNCTION("IMPORTRANGE(""https://docs.google.com/spreadsheets/d/1XL5vhW3sbDhbH9Cz0tuDiY8C3ctxq1tqvaCgkFb8cCA/edit?usp=sharing"",""ร้อยเอ็ด!J65"")"),0)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IFERROR(__xludf.DUMMYFUNCTION("IMPORTRANGE(""https://docs.google.com/spreadsheets/d/1XL5vhW3sbDhbH9Cz0tuDiY8C3ctxq1tqvaCgkFb8cCA/edit?usp=sharing"",""ร้อยเอ็ด!I68"")"),0)</f>
        <v>0</v>
      </c>
      <c r="J138" s="267">
        <f ca="1">IFERROR(__xludf.DUMMYFUNCTION("IMPORTRANGE(""https://docs.google.com/spreadsheets/d/1XL5vhW3sbDhbH9Cz0tuDiY8C3ctxq1tqvaCgkFb8cCA/edit?usp=sharing"",""ร้อยเอ็ด!J68"")"),0)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54" t="s">
        <v>17</v>
      </c>
      <c r="E140" s="555"/>
      <c r="F140" s="555"/>
      <c r="G140" s="555"/>
      <c r="H140" s="149" t="s">
        <v>12</v>
      </c>
      <c r="I140" s="162"/>
      <c r="J140" s="162"/>
      <c r="K140" s="163"/>
      <c r="L140" s="152">
        <f t="shared" ref="L140:N140" ca="1" si="64">L141+L142</f>
        <v>76100</v>
      </c>
      <c r="M140" s="152">
        <f t="shared" ca="1" si="64"/>
        <v>55625</v>
      </c>
      <c r="N140" s="152">
        <f t="shared" ca="1" si="64"/>
        <v>53615</v>
      </c>
      <c r="O140" s="151">
        <f t="shared" ref="O140:O142" ca="1" si="65">IF(L140&gt;0,N140*100/L140,0)</f>
        <v>70.453350854139288</v>
      </c>
      <c r="P140" s="151">
        <f t="shared" ref="P140:P142" ca="1" si="66">IF(M140&gt;0,N140*100/M140,0)</f>
        <v>96.386516853932591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76100</v>
      </c>
      <c r="M142" s="157">
        <f t="shared" ca="1" si="68"/>
        <v>55625</v>
      </c>
      <c r="N142" s="157">
        <f t="shared" ca="1" si="68"/>
        <v>53615</v>
      </c>
      <c r="O142" s="156">
        <f t="shared" ca="1" si="65"/>
        <v>70.453350854139288</v>
      </c>
      <c r="P142" s="156">
        <f t="shared" ca="1" si="66"/>
        <v>96.386516853932591</v>
      </c>
    </row>
    <row r="143" spans="1:16" ht="21.75" customHeight="1" x14ac:dyDescent="0.45">
      <c r="A143" s="158"/>
      <c r="B143" s="159"/>
      <c r="C143" s="159" t="s">
        <v>16</v>
      </c>
      <c r="D143" s="552" t="s">
        <v>20</v>
      </c>
      <c r="E143" s="553"/>
      <c r="F143" s="55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76100</v>
      </c>
      <c r="M144" s="537">
        <f ca="1">IFERROR(__xludf.DUMMYFUNCTION("IMPORTRANGE(""https://docs.google.com/spreadsheets/d/1Yj_ptqi66GCucihVvJfMjLAmec39IyEx_6qawtMGysU/edit?usp=sharing"",""สบก!BJ48"")"),55625)</f>
        <v>55625</v>
      </c>
      <c r="N144" s="538">
        <f ca="1">IFERROR(__xludf.DUMMYFUNCTION("IMPORTRANGE(""https://docs.google.com/spreadsheets/d/1Yj_ptqi66GCucihVvJfMjLAmec39IyEx_6qawtMGysU/edit?usp=sharing"",""สบก!BK48"")"),53615)</f>
        <v>53615</v>
      </c>
      <c r="O144" s="169">
        <f ca="1">IF(L144&gt;0,N144*100/L144,0)</f>
        <v>70.453350854139288</v>
      </c>
      <c r="P144" s="169">
        <f ca="1">IF(M144&gt;0,N144*100/M144,0)</f>
        <v>96.386516853932591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537">
        <f ca="1">IFERROR(__xludf.DUMMYFUNCTION("IMPORTRANGE(""https://docs.google.com/spreadsheets/d/1Yj_ptqi66GCucihVvJfMjLAmec39IyEx_6qawtMGysU/edit?usp=sharing"",""สบก!BF48"")"),0)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537">
        <f ca="1">IFERROR(__xludf.DUMMYFUNCTION("IMPORTRANGE(""https://docs.google.com/spreadsheets/d/1Yj_ptqi66GCucihVvJfMjLAmec39IyEx_6qawtMGysU/edit?usp=sharing"",""สบก!BG48"")"),76100)</f>
        <v>76100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52" t="s">
        <v>23</v>
      </c>
      <c r="E147" s="553"/>
      <c r="F147" s="89"/>
      <c r="G147" s="82" t="s">
        <v>18</v>
      </c>
      <c r="H147" s="172" t="s">
        <v>12</v>
      </c>
      <c r="I147" s="188"/>
      <c r="J147" s="188"/>
      <c r="K147" s="224"/>
      <c r="L147" s="535">
        <v>0</v>
      </c>
      <c r="M147" s="535"/>
      <c r="N147" s="41"/>
      <c r="O147" s="535"/>
      <c r="P147" s="535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533">
        <f ca="1">IFERROR(__xludf.DUMMYFUNCTION("IMPORTRANGE(""https://docs.google.com/spreadsheets/d/1Yj_ptqi66GCucihVvJfMjLAmec39IyEx_6qawtMGysU/edit?usp=sharing"",""สบก!BH48"")"),0)</f>
        <v>0</v>
      </c>
      <c r="M148" s="536"/>
      <c r="N148" s="533">
        <f ca="1">IFERROR(__xludf.DUMMYFUNCTION("IMPORTRANGE(""https://docs.google.com/spreadsheets/d/1Yj_ptqi66GCucihVvJfMjLAmec39IyEx_6qawtMGysU/edit?usp=sharing"",""สบก!BL48"")"),0)</f>
        <v>0</v>
      </c>
      <c r="O148" s="536">
        <f ca="1">IF(L148&gt;0,N148*100/L148,0)</f>
        <v>0</v>
      </c>
      <c r="P148" s="536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IFERROR(__xludf.DUMMYFUNCTION("IMPORTRANGE(""https://docs.google.com/spreadsheets/d/1XL5vhW3sbDhbH9Cz0tuDiY8C3ctxq1tqvaCgkFb8cCA/edit?usp=sharing"",""ร้อยเอ็ด!I74"")"),4)</f>
        <v>4</v>
      </c>
      <c r="J149" s="275">
        <f ca="1">IFERROR(__xludf.DUMMYFUNCTION("IMPORTRANGE(""https://docs.google.com/spreadsheets/d/1XL5vhW3sbDhbH9Cz0tuDiY8C3ctxq1tqvaCgkFb8cCA/edit?usp=sharing"",""ร้อยเอ็ด!J74"")"),2)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IFERROR(__xludf.DUMMYFUNCTION("IMPORTRANGE(""https://docs.google.com/spreadsheets/d/1XL5vhW3sbDhbH9Cz0tuDiY8C3ctxq1tqvaCgkFb8cCA/edit?usp=sharing"",""ร้อยเอ็ด!J79"")"),0)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IFERROR(__xludf.DUMMYFUNCTION("IMPORTRANGE(""https://docs.google.com/spreadsheets/d/1XL5vhW3sbDhbH9Cz0tuDiY8C3ctxq1tqvaCgkFb8cCA/edit?usp=sharing"",""ร้อยเอ็ด!J80"")"),1)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IFERROR(__xludf.DUMMYFUNCTION("IMPORTRANGE(""https://docs.google.com/spreadsheets/d/1XL5vhW3sbDhbH9Cz0tuDiY8C3ctxq1tqvaCgkFb8cCA/edit?usp=sharing"",""ร้อยเอ็ด!J81"")"),1)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IFERROR(__xludf.DUMMYFUNCTION("IMPORTRANGE(""https://docs.google.com/spreadsheets/d/1XL5vhW3sbDhbH9Cz0tuDiY8C3ctxq1tqvaCgkFb8cCA/edit?usp=sharing"",""ร้อยเอ็ด!J82"")"),1)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IFERROR(__xludf.DUMMYFUNCTION("IMPORTRANGE(""https://docs.google.com/spreadsheets/d/1XL5vhW3sbDhbH9Cz0tuDiY8C3ctxq1tqvaCgkFb8cCA/edit?usp=sharing"",""ร้อยเอ็ด!I83"")"),4)</f>
        <v>4</v>
      </c>
      <c r="J158" s="189">
        <f ca="1">IFERROR(__xludf.DUMMYFUNCTION("IMPORTRANGE(""https://docs.google.com/spreadsheets/d/1XL5vhW3sbDhbH9Cz0tuDiY8C3ctxq1tqvaCgkFb8cCA/edit?usp=sharing"",""ร้อยเอ็ด!J83"")"),2)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IFERROR(__xludf.DUMMYFUNCTION("IMPORTRANGE(""https://docs.google.com/spreadsheets/d/1XL5vhW3sbDhbH9Cz0tuDiY8C3ctxq1tqvaCgkFb8cCA/edit?usp=sharing"",""ร้อยเอ็ด!J84"")"),0)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IFERROR(__xludf.DUMMYFUNCTION("IMPORTRANGE(""https://docs.google.com/spreadsheets/d/1XL5vhW3sbDhbH9Cz0tuDiY8C3ctxq1tqvaCgkFb8cCA/edit?usp=sharing"",""ร้อยเอ็ด!J85"")"),0)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IFERROR(__xludf.DUMMYFUNCTION("IMPORTRANGE(""https://docs.google.com/spreadsheets/d/1XL5vhW3sbDhbH9Cz0tuDiY8C3ctxq1tqvaCgkFb8cCA/edit?usp=sharing"",""ร้อยเอ็ด!J86"")"),0)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IFERROR(__xludf.DUMMYFUNCTION("IMPORTRANGE(""https://docs.google.com/spreadsheets/d/1XL5vhW3sbDhbH9Cz0tuDiY8C3ctxq1tqvaCgkFb8cCA/edit?usp=sharing"",""ร้อยเอ็ด!J87"")"),0)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IFERROR(__xludf.DUMMYFUNCTION("IMPORTRANGE(""https://docs.google.com/spreadsheets/d/1XL5vhW3sbDhbH9Cz0tuDiY8C3ctxq1tqvaCgkFb8cCA/edit?usp=sharing"",""ร้อยเอ็ด!J88"")"),0)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IFERROR(__xludf.DUMMYFUNCTION("IMPORTRANGE(""https://docs.google.com/spreadsheets/d/1XL5vhW3sbDhbH9Cz0tuDiY8C3ctxq1tqvaCgkFb8cCA/edit?usp=sharing"",""ร้อยเอ็ด!I89"")"),3)</f>
        <v>3</v>
      </c>
      <c r="J164" s="284">
        <f ca="1">IFERROR(__xludf.DUMMYFUNCTION("IMPORTRANGE(""https://docs.google.com/spreadsheets/d/1XL5vhW3sbDhbH9Cz0tuDiY8C3ctxq1tqvaCgkFb8cCA/edit?usp=sharing"",""ร้อยเอ็ด!J89"")"),3)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IFERROR(__xludf.DUMMYFUNCTION("IMPORTRANGE(""https://docs.google.com/spreadsheets/d/1XL5vhW3sbDhbH9Cz0tuDiY8C3ctxq1tqvaCgkFb8cCA/edit?usp=sharing"",""ร้อยเอ็ด!J94"")"),0)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IFERROR(__xludf.DUMMYFUNCTION("IMPORTRANGE(""https://docs.google.com/spreadsheets/d/1XL5vhW3sbDhbH9Cz0tuDiY8C3ctxq1tqvaCgkFb8cCA/edit?usp=sharing"",""ร้อยเอ็ด!J95"")"),0)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IFERROR(__xludf.DUMMYFUNCTION("IMPORTRANGE(""https://docs.google.com/spreadsheets/d/1XL5vhW3sbDhbH9Cz0tuDiY8C3ctxq1tqvaCgkFb8cCA/edit?usp=sharing"",""ร้อยเอ็ด!J96"")"),1)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IFERROR(__xludf.DUMMYFUNCTION("IMPORTRANGE(""https://docs.google.com/spreadsheets/d/1XL5vhW3sbDhbH9Cz0tuDiY8C3ctxq1tqvaCgkFb8cCA/edit?usp=sharing"",""ร้อยเอ็ด!J97"")"),0)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IFERROR(__xludf.DUMMYFUNCTION("IMPORTRANGE(""https://docs.google.com/spreadsheets/d/1XL5vhW3sbDhbH9Cz0tuDiY8C3ctxq1tqvaCgkFb8cCA/edit?usp=sharing"",""ร้อยเอ็ด!I98"")"),3)</f>
        <v>3</v>
      </c>
      <c r="J173" s="189">
        <f ca="1">IFERROR(__xludf.DUMMYFUNCTION("IMPORTRANGE(""https://docs.google.com/spreadsheets/d/1XL5vhW3sbDhbH9Cz0tuDiY8C3ctxq1tqvaCgkFb8cCA/edit?usp=sharing"",""ร้อยเอ็ด!J98"")"),3)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IFERROR(__xludf.DUMMYFUNCTION("IMPORTRANGE(""https://docs.google.com/spreadsheets/d/1XL5vhW3sbDhbH9Cz0tuDiY8C3ctxq1tqvaCgkFb8cCA/edit?usp=sharing"",""ร้อยเอ็ด!J99"")"),1)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IFERROR(__xludf.DUMMYFUNCTION("IMPORTRANGE(""https://docs.google.com/spreadsheets/d/1XL5vhW3sbDhbH9Cz0tuDiY8C3ctxq1tqvaCgkFb8cCA/edit?usp=sharing"",""ร้อยเอ็ด!J100"")"),1)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IFERROR(__xludf.DUMMYFUNCTION("IMPORTRANGE(""https://docs.google.com/spreadsheets/d/1XL5vhW3sbDhbH9Cz0tuDiY8C3ctxq1tqvaCgkFb8cCA/edit?usp=sharing"",""ร้อยเอ็ด!I101"")"),0)</f>
        <v>0</v>
      </c>
      <c r="J176" s="284">
        <f ca="1">IFERROR(__xludf.DUMMYFUNCTION("IMPORTRANGE(""https://docs.google.com/spreadsheets/d/1XL5vhW3sbDhbH9Cz0tuDiY8C3ctxq1tqvaCgkFb8cCA/edit?usp=sharing"",""ร้อยเอ็ด!J101"")"),0)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IFERROR(__xludf.DUMMYFUNCTION("IMPORTRANGE(""https://docs.google.com/spreadsheets/d/1XL5vhW3sbDhbH9Cz0tuDiY8C3ctxq1tqvaCgkFb8cCA/edit?usp=sharing"",""ร้อยเอ็ด!J106"")"),0)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IFERROR(__xludf.DUMMYFUNCTION("IMPORTRANGE(""https://docs.google.com/spreadsheets/d/1XL5vhW3sbDhbH9Cz0tuDiY8C3ctxq1tqvaCgkFb8cCA/edit?usp=sharing"",""ร้อยเอ็ด!J107"")"),0)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IFERROR(__xludf.DUMMYFUNCTION("IMPORTRANGE(""https://docs.google.com/spreadsheets/d/1XL5vhW3sbDhbH9Cz0tuDiY8C3ctxq1tqvaCgkFb8cCA/edit?usp=sharing"",""ร้อยเอ็ด!J108"")"),0)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IFERROR(__xludf.DUMMYFUNCTION("IMPORTRANGE(""https://docs.google.com/spreadsheets/d/1XL5vhW3sbDhbH9Cz0tuDiY8C3ctxq1tqvaCgkFb8cCA/edit?usp=sharing"",""ร้อยเอ็ด!J109"")"),0)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IFERROR(__xludf.DUMMYFUNCTION("IMPORTRANGE(""https://docs.google.com/spreadsheets/d/1XL5vhW3sbDhbH9Cz0tuDiY8C3ctxq1tqvaCgkFb8cCA/edit?usp=sharing"",""ร้อยเอ็ด!I110"")"),0)</f>
        <v>0</v>
      </c>
      <c r="J185" s="204">
        <f ca="1">IFERROR(__xludf.DUMMYFUNCTION("IMPORTRANGE(""https://docs.google.com/spreadsheets/d/1XL5vhW3sbDhbH9Cz0tuDiY8C3ctxq1tqvaCgkFb8cCA/edit?usp=sharing"",""ร้อยเอ็ด!J110"")"),0)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IFERROR(__xludf.DUMMYFUNCTION("IMPORTRANGE(""https://docs.google.com/spreadsheets/d/1XL5vhW3sbDhbH9Cz0tuDiY8C3ctxq1tqvaCgkFb8cCA/edit?usp=sharing"",""ร้อยเอ็ด!I111"")"),0)</f>
        <v>0</v>
      </c>
      <c r="J186" s="204">
        <f ca="1">IFERROR(__xludf.DUMMYFUNCTION("IMPORTRANGE(""https://docs.google.com/spreadsheets/d/1XL5vhW3sbDhbH9Cz0tuDiY8C3ctxq1tqvaCgkFb8cCA/edit?usp=sharing"",""ร้อยเอ็ด!J111"")"),0)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IFERROR(__xludf.DUMMYFUNCTION("IMPORTRANGE(""https://docs.google.com/spreadsheets/d/1XL5vhW3sbDhbH9Cz0tuDiY8C3ctxq1tqvaCgkFb8cCA/edit?usp=sharing"",""ร้อยเอ็ด!J112"")"),0)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IFERROR(__xludf.DUMMYFUNCTION("IMPORTRANGE(""https://docs.google.com/spreadsheets/d/1XL5vhW3sbDhbH9Cz0tuDiY8C3ctxq1tqvaCgkFb8cCA/edit?usp=sharing"",""ร้อยเอ็ด!J113"")"),0)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IFERROR(__xludf.DUMMYFUNCTION("IMPORTRANGE(""https://docs.google.com/spreadsheets/d/1XL5vhW3sbDhbH9Cz0tuDiY8C3ctxq1tqvaCgkFb8cCA/edit?usp=sharing"",""ร้อยเอ็ด!I114"")"),64000)</f>
        <v>64000</v>
      </c>
      <c r="J189" s="284">
        <f ca="1">IFERROR(__xludf.DUMMYFUNCTION("IMPORTRANGE(""https://docs.google.com/spreadsheets/d/1XL5vhW3sbDhbH9Cz0tuDiY8C3ctxq1tqvaCgkFb8cCA/edit?usp=sharing"",""ร้อยเอ็ด!J114"")"),0)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IFERROR(__xludf.DUMMYFUNCTION("IMPORTRANGE(""https://docs.google.com/spreadsheets/d/1XL5vhW3sbDhbH9Cz0tuDiY8C3ctxq1tqvaCgkFb8cCA/edit?usp=sharing"",""ร้อยเอ็ด!J119"")"),0)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IFERROR(__xludf.DUMMYFUNCTION("IMPORTRANGE(""https://docs.google.com/spreadsheets/d/1XL5vhW3sbDhbH9Cz0tuDiY8C3ctxq1tqvaCgkFb8cCA/edit?usp=sharing"",""ร้อยเอ็ด!J120"")"),1)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IFERROR(__xludf.DUMMYFUNCTION("IMPORTRANGE(""https://docs.google.com/spreadsheets/d/1XL5vhW3sbDhbH9Cz0tuDiY8C3ctxq1tqvaCgkFb8cCA/edit?usp=sharing"",""ร้อยเอ็ด!J121"")"),1)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IFERROR(__xludf.DUMMYFUNCTION("IMPORTRANGE(""https://docs.google.com/spreadsheets/d/1XL5vhW3sbDhbH9Cz0tuDiY8C3ctxq1tqvaCgkFb8cCA/edit?usp=sharing"",""ร้อยเอ็ด!J122"")"),1)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IFERROR(__xludf.DUMMYFUNCTION("IMPORTRANGE(""https://docs.google.com/spreadsheets/d/1XL5vhW3sbDhbH9Cz0tuDiY8C3ctxq1tqvaCgkFb8cCA/edit?usp=sharing"",""ร้อยเอ็ด!I124"")"),64000)</f>
        <v>64000</v>
      </c>
      <c r="J199" s="189">
        <f ca="1">IFERROR(__xludf.DUMMYFUNCTION("IMPORTRANGE(""https://docs.google.com/spreadsheets/d/1XL5vhW3sbDhbH9Cz0tuDiY8C3ctxq1tqvaCgkFb8cCA/edit?usp=sharing"",""ร้อยเอ็ด!J124"")"),64000)</f>
        <v>64000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IFERROR(__xludf.DUMMYFUNCTION("IMPORTRANGE(""https://docs.google.com/spreadsheets/d/1XL5vhW3sbDhbH9Cz0tuDiY8C3ctxq1tqvaCgkFb8cCA/edit?usp=sharing"",""ร้อยเอ็ด!I125"")"),64000)</f>
        <v>64000</v>
      </c>
      <c r="J200" s="189">
        <f ca="1">IFERROR(__xludf.DUMMYFUNCTION("IMPORTRANGE(""https://docs.google.com/spreadsheets/d/1XL5vhW3sbDhbH9Cz0tuDiY8C3ctxq1tqvaCgkFb8cCA/edit?usp=sharing"",""ร้อยเอ็ด!J125"")"),0)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IFERROR(__xludf.DUMMYFUNCTION("IMPORTRANGE(""https://docs.google.com/spreadsheets/d/1XL5vhW3sbDhbH9Cz0tuDiY8C3ctxq1tqvaCgkFb8cCA/edit?usp=sharing"",""ร้อยเอ็ด!I126"")"),0)</f>
        <v>0</v>
      </c>
      <c r="J201" s="189">
        <f ca="1">IFERROR(__xludf.DUMMYFUNCTION("IMPORTRANGE(""https://docs.google.com/spreadsheets/d/1XL5vhW3sbDhbH9Cz0tuDiY8C3ctxq1tqvaCgkFb8cCA/edit?usp=sharing"",""ร้อยเอ็ด!J126"")"),0)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IFERROR(__xludf.DUMMYFUNCTION("IMPORTRANGE(""https://docs.google.com/spreadsheets/d/1XL5vhW3sbDhbH9Cz0tuDiY8C3ctxq1tqvaCgkFb8cCA/edit?usp=sharing"",""ร้อยเอ็ด!J127"")"),0)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IFERROR(__xludf.DUMMYFUNCTION("IMPORTRANGE(""https://docs.google.com/spreadsheets/d/1XL5vhW3sbDhbH9Cz0tuDiY8C3ctxq1tqvaCgkFb8cCA/edit?usp=sharing"",""ร้อยเอ็ด!J128"")"),0)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IFERROR(__xludf.DUMMYFUNCTION("IMPORTRANGE(""https://docs.google.com/spreadsheets/d/1XL5vhW3sbDhbH9Cz0tuDiY8C3ctxq1tqvaCgkFb8cCA/edit?usp=sharing"",""ร้อยเอ็ด!I129"")"),0)</f>
        <v>0</v>
      </c>
      <c r="J204" s="284">
        <f ca="1">IFERROR(__xludf.DUMMYFUNCTION("IMPORTRANGE(""https://docs.google.com/spreadsheets/d/1XL5vhW3sbDhbH9Cz0tuDiY8C3ctxq1tqvaCgkFb8cCA/edit?usp=sharing"",""ร้อยเอ็ด!J129"")"),0)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IFERROR(__xludf.DUMMYFUNCTION("IMPORTRANGE(""https://docs.google.com/spreadsheets/d/1XL5vhW3sbDhbH9Cz0tuDiY8C3ctxq1tqvaCgkFb8cCA/edit?usp=sharing"",""ร้อยเอ็ด!J134"")"),0)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IFERROR(__xludf.DUMMYFUNCTION("IMPORTRANGE(""https://docs.google.com/spreadsheets/d/1XL5vhW3sbDhbH9Cz0tuDiY8C3ctxq1tqvaCgkFb8cCA/edit?usp=sharing"",""ร้อยเอ็ด!J135"")"),0)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IFERROR(__xludf.DUMMYFUNCTION("IMPORTRANGE(""https://docs.google.com/spreadsheets/d/1XL5vhW3sbDhbH9Cz0tuDiY8C3ctxq1tqvaCgkFb8cCA/edit?usp=sharing"",""ร้อยเอ็ด!J136"")"),0)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IFERROR(__xludf.DUMMYFUNCTION("IMPORTRANGE(""https://docs.google.com/spreadsheets/d/1XL5vhW3sbDhbH9Cz0tuDiY8C3ctxq1tqvaCgkFb8cCA/edit?usp=sharing"",""ร้อยเอ็ด!J137"")"),0)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IFERROR(__xludf.DUMMYFUNCTION("IMPORTRANGE(""https://docs.google.com/spreadsheets/d/1XL5vhW3sbDhbH9Cz0tuDiY8C3ctxq1tqvaCgkFb8cCA/edit?usp=sharing"",""ร้อยเอ็ด!I138"")"),0)</f>
        <v>0</v>
      </c>
      <c r="J213" s="204">
        <f ca="1">IFERROR(__xludf.DUMMYFUNCTION("IMPORTRANGE(""https://docs.google.com/spreadsheets/d/1XL5vhW3sbDhbH9Cz0tuDiY8C3ctxq1tqvaCgkFb8cCA/edit?usp=sharing"",""ร้อยเอ็ด!J138"")"),0)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IFERROR(__xludf.DUMMYFUNCTION("IMPORTRANGE(""https://docs.google.com/spreadsheets/d/1XL5vhW3sbDhbH9Cz0tuDiY8C3ctxq1tqvaCgkFb8cCA/edit?usp=sharing"",""ร้อยเอ็ด!I140"")"),0)</f>
        <v>0</v>
      </c>
      <c r="J215" s="204">
        <f ca="1">IFERROR(__xludf.DUMMYFUNCTION("IMPORTRANGE(""https://docs.google.com/spreadsheets/d/1XL5vhW3sbDhbH9Cz0tuDiY8C3ctxq1tqvaCgkFb8cCA/edit?usp=sharing"",""ร้อยเอ็ด!J140"")"),0)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IFERROR(__xludf.DUMMYFUNCTION("IMPORTRANGE(""https://docs.google.com/spreadsheets/d/1XL5vhW3sbDhbH9Cz0tuDiY8C3ctxq1tqvaCgkFb8cCA/edit?usp=sharing"",""ร้อยเอ็ด!I141"")"),0)</f>
        <v>0</v>
      </c>
      <c r="J216" s="204">
        <f ca="1">IFERROR(__xludf.DUMMYFUNCTION("IMPORTRANGE(""https://docs.google.com/spreadsheets/d/1XL5vhW3sbDhbH9Cz0tuDiY8C3ctxq1tqvaCgkFb8cCA/edit?usp=sharing"",""ร้อยเอ็ด!J141"")"),0)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IFERROR(__xludf.DUMMYFUNCTION("IMPORTRANGE(""https://docs.google.com/spreadsheets/d/1XL5vhW3sbDhbH9Cz0tuDiY8C3ctxq1tqvaCgkFb8cCA/edit?usp=sharing"",""ร้อยเอ็ด!J142"")"),0)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IFERROR(__xludf.DUMMYFUNCTION("IMPORTRANGE(""https://docs.google.com/spreadsheets/d/1XL5vhW3sbDhbH9Cz0tuDiY8C3ctxq1tqvaCgkFb8cCA/edit?usp=sharing"",""ร้อยเอ็ด!J143"")"),0)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IFERROR(__xludf.DUMMYFUNCTION("IMPORTRANGE(""https://docs.google.com/spreadsheets/d/1XL5vhW3sbDhbH9Cz0tuDiY8C3ctxq1tqvaCgkFb8cCA/edit?usp=sharing"",""ร้อยเอ็ด!I144"")"),10)</f>
        <v>10</v>
      </c>
      <c r="J219" s="267">
        <f ca="1">IFERROR(__xludf.DUMMYFUNCTION("IMPORTRANGE(""https://docs.google.com/spreadsheets/d/1XL5vhW3sbDhbH9Cz0tuDiY8C3ctxq1tqvaCgkFb8cCA/edit?usp=sharing"",""ร้อยเอ็ด!J144"")"),10)</f>
        <v>10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54" t="s">
        <v>17</v>
      </c>
      <c r="E220" s="555"/>
      <c r="F220" s="555"/>
      <c r="G220" s="555"/>
      <c r="H220" s="149" t="s">
        <v>12</v>
      </c>
      <c r="I220" s="162"/>
      <c r="J220" s="162"/>
      <c r="K220" s="163"/>
      <c r="L220" s="152">
        <f t="shared" ref="L220:N220" ca="1" si="72">L221+L222</f>
        <v>16550</v>
      </c>
      <c r="M220" s="152">
        <f t="shared" ca="1" si="72"/>
        <v>16550</v>
      </c>
      <c r="N220" s="152">
        <f t="shared" ca="1" si="72"/>
        <v>16510</v>
      </c>
      <c r="O220" s="151">
        <f t="shared" ref="O220:O222" ca="1" si="73">IF(L220&gt;0,N220*100/L220,0)</f>
        <v>99.758308157099691</v>
      </c>
      <c r="P220" s="151">
        <f t="shared" ref="P220:P222" ca="1" si="74">IF(M220&gt;0,N220*100/M220,0)</f>
        <v>99.758308157099691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16550</v>
      </c>
      <c r="M222" s="157">
        <f t="shared" ca="1" si="76"/>
        <v>16550</v>
      </c>
      <c r="N222" s="157">
        <f t="shared" ca="1" si="76"/>
        <v>16510</v>
      </c>
      <c r="O222" s="156">
        <f t="shared" ca="1" si="73"/>
        <v>99.758308157099691</v>
      </c>
      <c r="P222" s="156">
        <f t="shared" ca="1" si="74"/>
        <v>99.758308157099691</v>
      </c>
    </row>
    <row r="223" spans="1:16" ht="21.75" customHeight="1" x14ac:dyDescent="0.45">
      <c r="A223" s="158"/>
      <c r="B223" s="159"/>
      <c r="C223" s="159" t="s">
        <v>16</v>
      </c>
      <c r="D223" s="552" t="s">
        <v>20</v>
      </c>
      <c r="E223" s="553"/>
      <c r="F223" s="55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16550</v>
      </c>
      <c r="M224" s="537">
        <f ca="1">IFERROR(__xludf.DUMMYFUNCTION("IMPORTRANGE(""https://docs.google.com/spreadsheets/d/1Yj_ptqi66GCucihVvJfMjLAmec39IyEx_6qawtMGysU/edit?usp=sharing"",""สบก!BS48"")"),16550)</f>
        <v>16550</v>
      </c>
      <c r="N224" s="538">
        <f ca="1">IFERROR(__xludf.DUMMYFUNCTION("IMPORTRANGE(""https://docs.google.com/spreadsheets/d/1Yj_ptqi66GCucihVvJfMjLAmec39IyEx_6qawtMGysU/edit?usp=sharing"",""สบก!BT48"")"),16510)</f>
        <v>16510</v>
      </c>
      <c r="O224" s="169">
        <f ca="1">IF(L224&gt;0,N224*100/L224,0)</f>
        <v>99.758308157099691</v>
      </c>
      <c r="P224" s="169">
        <f ca="1">IF(M224&gt;0,N224*100/M224,0)</f>
        <v>99.758308157099691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537">
        <f ca="1">IFERROR(__xludf.DUMMYFUNCTION("IMPORTRANGE(""https://docs.google.com/spreadsheets/d/1Yj_ptqi66GCucihVvJfMjLAmec39IyEx_6qawtMGysU/edit?usp=sharing"",""สบก!BO48"")"),0)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537">
        <f ca="1">IFERROR(__xludf.DUMMYFUNCTION("IMPORTRANGE(""https://docs.google.com/spreadsheets/d/1Yj_ptqi66GCucihVvJfMjLAmec39IyEx_6qawtMGysU/edit?usp=sharing"",""สบก!BP48"")"),16550)</f>
        <v>16550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52" t="s">
        <v>23</v>
      </c>
      <c r="E227" s="553"/>
      <c r="F227" s="89"/>
      <c r="G227" s="82" t="s">
        <v>18</v>
      </c>
      <c r="H227" s="172" t="s">
        <v>12</v>
      </c>
      <c r="I227" s="201"/>
      <c r="J227" s="201"/>
      <c r="K227" s="290"/>
      <c r="L227" s="535">
        <v>0</v>
      </c>
      <c r="M227" s="535"/>
      <c r="N227" s="41"/>
      <c r="O227" s="535"/>
      <c r="P227" s="535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533">
        <f ca="1">IFERROR(__xludf.DUMMYFUNCTION("IMPORTRANGE(""https://docs.google.com/spreadsheets/d/1Yj_ptqi66GCucihVvJfMjLAmec39IyEx_6qawtMGysU/edit?usp=sharing"",""สบก!BQ48"")"),0)</f>
        <v>0</v>
      </c>
      <c r="M228" s="536"/>
      <c r="N228" s="533">
        <f ca="1">IFERROR(__xludf.DUMMYFUNCTION("IMPORTRANGE(""https://docs.google.com/spreadsheets/d/1Yj_ptqi66GCucihVvJfMjLAmec39IyEx_6qawtMGysU/edit?usp=sharing"",""สบก!BU48"")"),0)</f>
        <v>0</v>
      </c>
      <c r="O228" s="536">
        <f ca="1">IF(L228&gt;0,N228*100/L228,0)</f>
        <v>0</v>
      </c>
      <c r="P228" s="536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IFERROR(__xludf.DUMMYFUNCTION("IMPORTRANGE(""https://docs.google.com/spreadsheets/d/1XL5vhW3sbDhbH9Cz0tuDiY8C3ctxq1tqvaCgkFb8cCA/edit?usp=sharing"",""ร้อยเอ็ด!I149"")"),10)</f>
        <v>10</v>
      </c>
      <c r="J229" s="267">
        <f ca="1">IFERROR(__xludf.DUMMYFUNCTION("IMPORTRANGE(""https://docs.google.com/spreadsheets/d/1XL5vhW3sbDhbH9Cz0tuDiY8C3ctxq1tqvaCgkFb8cCA/edit?usp=sharing"",""ร้อยเอ็ด!J149"")"),10)</f>
        <v>10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IFERROR(__xludf.DUMMYFUNCTION("IMPORTRANGE(""https://docs.google.com/spreadsheets/d/1XL5vhW3sbDhbH9Cz0tuDiY8C3ctxq1tqvaCgkFb8cCA/edit?usp=sharing"",""ร้อยเอ็ด!J151"")"),0)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IFERROR(__xludf.DUMMYFUNCTION("IMPORTRANGE(""https://docs.google.com/spreadsheets/d/1XL5vhW3sbDhbH9Cz0tuDiY8C3ctxq1tqvaCgkFb8cCA/edit?usp=sharing"",""ร้อยเอ็ด!J152"")"),1)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IFERROR(__xludf.DUMMYFUNCTION("IMPORTRANGE(""https://docs.google.com/spreadsheets/d/1XL5vhW3sbDhbH9Cz0tuDiY8C3ctxq1tqvaCgkFb8cCA/edit?usp=sharing"",""ร้อยเอ็ด!J153"")"),1)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IFERROR(__xludf.DUMMYFUNCTION("IMPORTRANGE(""https://docs.google.com/spreadsheets/d/1XL5vhW3sbDhbH9Cz0tuDiY8C3ctxq1tqvaCgkFb8cCA/edit?usp=sharing"",""ร้อยเอ็ด!J154"")"),1)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IFERROR(__xludf.DUMMYFUNCTION("IMPORTRANGE(""https://docs.google.com/spreadsheets/d/1XL5vhW3sbDhbH9Cz0tuDiY8C3ctxq1tqvaCgkFb8cCA/edit?usp=sharing"",""ร้อยเอ็ด!I155"")"),10)</f>
        <v>10</v>
      </c>
      <c r="J235" s="189">
        <f ca="1">IFERROR(__xludf.DUMMYFUNCTION("IMPORTRANGE(""https://docs.google.com/spreadsheets/d/1XL5vhW3sbDhbH9Cz0tuDiY8C3ctxq1tqvaCgkFb8cCA/edit?usp=sharing"",""ร้อยเอ็ด!J155"")"),10)</f>
        <v>10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IFERROR(__xludf.DUMMYFUNCTION("IMPORTRANGE(""https://docs.google.com/spreadsheets/d/1XL5vhW3sbDhbH9Cz0tuDiY8C3ctxq1tqvaCgkFb8cCA/edit?usp=sharing"",""ร้อยเอ็ด!J156"")"),1)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IFERROR(__xludf.DUMMYFUNCTION("IMPORTRANGE(""https://docs.google.com/spreadsheets/d/1XL5vhW3sbDhbH9Cz0tuDiY8C3ctxq1tqvaCgkFb8cCA/edit?usp=sharing"",""ร้อยเอ็ด!J157"")"),0)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IFERROR(__xludf.DUMMYFUNCTION("IMPORTRANGE(""https://docs.google.com/spreadsheets/d/1XL5vhW3sbDhbH9Cz0tuDiY8C3ctxq1tqvaCgkFb8cCA/edit?usp=sharing"",""ร้อยเอ็ด!I158"")"),0)</f>
        <v>0</v>
      </c>
      <c r="J238" s="267">
        <f ca="1">IFERROR(__xludf.DUMMYFUNCTION("IMPORTRANGE(""https://docs.google.com/spreadsheets/d/1XL5vhW3sbDhbH9Cz0tuDiY8C3ctxq1tqvaCgkFb8cCA/edit?usp=sharing"",""ร้อยเอ็ด!J158"")"),0)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IFERROR(__xludf.DUMMYFUNCTION("IMPORTRANGE(""https://docs.google.com/spreadsheets/d/1XL5vhW3sbDhbH9Cz0tuDiY8C3ctxq1tqvaCgkFb8cCA/edit?usp=sharing"",""ร้อยเอ็ด!J159"")"),"")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IFERROR(__xludf.DUMMYFUNCTION("IMPORTRANGE(""https://docs.google.com/spreadsheets/d/1XL5vhW3sbDhbH9Cz0tuDiY8C3ctxq1tqvaCgkFb8cCA/edit?usp=sharing"",""ร้อยเอ็ด!J161"")"),0)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IFERROR(__xludf.DUMMYFUNCTION("IMPORTRANGE(""https://docs.google.com/spreadsheets/d/1XL5vhW3sbDhbH9Cz0tuDiY8C3ctxq1tqvaCgkFb8cCA/edit?usp=sharing"",""ร้อยเอ็ด!J162"")"),0)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IFERROR(__xludf.DUMMYFUNCTION("IMPORTRANGE(""https://docs.google.com/spreadsheets/d/1XL5vhW3sbDhbH9Cz0tuDiY8C3ctxq1tqvaCgkFb8cCA/edit?usp=sharing"",""ร้อยเอ็ด!J163"")"),0)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IFERROR(__xludf.DUMMYFUNCTION("IMPORTRANGE(""https://docs.google.com/spreadsheets/d/1XL5vhW3sbDhbH9Cz0tuDiY8C3ctxq1tqvaCgkFb8cCA/edit?usp=sharing"",""ร้อยเอ็ด!I164"")"),0)</f>
        <v>0</v>
      </c>
      <c r="J244" s="188">
        <f ca="1">IFERROR(__xludf.DUMMYFUNCTION("IMPORTRANGE(""https://docs.google.com/spreadsheets/d/1XL5vhW3sbDhbH9Cz0tuDiY8C3ctxq1tqvaCgkFb8cCA/edit?usp=sharing"",""ร้อยเอ็ด!J164"")"),0)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IFERROR(__xludf.DUMMYFUNCTION("IMPORTRANGE(""https://docs.google.com/spreadsheets/d/1XL5vhW3sbDhbH9Cz0tuDiY8C3ctxq1tqvaCgkFb8cCA/edit?usp=sharing"",""ร้อยเอ็ด!J165"")"),0)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IFERROR(__xludf.DUMMYFUNCTION("IMPORTRANGE(""https://docs.google.com/spreadsheets/d/1XL5vhW3sbDhbH9Cz0tuDiY8C3ctxq1tqvaCgkFb8cCA/edit?usp=sharing"",""ร้อยเอ็ด!J166"")"),0)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IFERROR(__xludf.DUMMYFUNCTION("IMPORTRANGE(""https://docs.google.com/spreadsheets/d/1XL5vhW3sbDhbH9Cz0tuDiY8C3ctxq1tqvaCgkFb8cCA/edit?usp=sharing"",""ร้อยเอ็ด!I169"")"),0)</f>
        <v>0</v>
      </c>
      <c r="J249" s="316">
        <f ca="1">IFERROR(__xludf.DUMMYFUNCTION("IMPORTRANGE(""https://docs.google.com/spreadsheets/d/1XL5vhW3sbDhbH9Cz0tuDiY8C3ctxq1tqvaCgkFb8cCA/edit?usp=sharing"",""ร้อยเอ็ด!J169"")"),0)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54" t="s">
        <v>17</v>
      </c>
      <c r="E250" s="555"/>
      <c r="F250" s="555"/>
      <c r="G250" s="55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52" t="s">
        <v>20</v>
      </c>
      <c r="E253" s="553"/>
      <c r="F253" s="55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537">
        <f ca="1">IFERROR(__xludf.DUMMYFUNCTION("IMPORTRANGE(""https://docs.google.com/spreadsheets/d/1Yj_ptqi66GCucihVvJfMjLAmec39IyEx_6qawtMGysU/edit?usp=sharing"",""สบก!CB48"")"),0)</f>
        <v>0</v>
      </c>
      <c r="N254" s="538">
        <f ca="1">IFERROR(__xludf.DUMMYFUNCTION("IMPORTRANGE(""https://docs.google.com/spreadsheets/d/1Yj_ptqi66GCucihVvJfMjLAmec39IyEx_6qawtMGysU/edit?usp=sharing"",""สบก!CC48"")"),0)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537">
        <f ca="1">IFERROR(__xludf.DUMMYFUNCTION("IMPORTRANGE(""https://docs.google.com/spreadsheets/d/1Yj_ptqi66GCucihVvJfMjLAmec39IyEx_6qawtMGysU/edit?usp=sharing"",""สบก!BX48"")"),0)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537">
        <f ca="1">IFERROR(__xludf.DUMMYFUNCTION("IMPORTRANGE(""https://docs.google.com/spreadsheets/d/1Yj_ptqi66GCucihVvJfMjLAmec39IyEx_6qawtMGysU/edit?usp=sharing"",""สบก!BY48"")"),0)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52" t="s">
        <v>23</v>
      </c>
      <c r="E257" s="553"/>
      <c r="F257" s="89"/>
      <c r="G257" s="82" t="s">
        <v>18</v>
      </c>
      <c r="H257" s="172" t="s">
        <v>12</v>
      </c>
      <c r="I257" s="162"/>
      <c r="J257" s="162"/>
      <c r="K257" s="163"/>
      <c r="L257" s="535">
        <v>0</v>
      </c>
      <c r="M257" s="535"/>
      <c r="N257" s="41"/>
      <c r="O257" s="535"/>
      <c r="P257" s="535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533">
        <f ca="1">IFERROR(__xludf.DUMMYFUNCTION("IMPORTRANGE(""https://docs.google.com/spreadsheets/d/1Yj_ptqi66GCucihVvJfMjLAmec39IyEx_6qawtMGysU/edit?usp=sharing"",""สบก!BZ48"")"),0)</f>
        <v>0</v>
      </c>
      <c r="M258" s="536"/>
      <c r="N258" s="533">
        <f ca="1">IFERROR(__xludf.DUMMYFUNCTION("IMPORTRANGE(""https://docs.google.com/spreadsheets/d/1Yj_ptqi66GCucihVvJfMjLAmec39IyEx_6qawtMGysU/edit?usp=sharing"",""สบก!CD48"")"),0)</f>
        <v>0</v>
      </c>
      <c r="O258" s="536">
        <f ca="1">IF(L258&gt;0,N258*100/L258,0)</f>
        <v>0</v>
      </c>
      <c r="P258" s="536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IFERROR(__xludf.DUMMYFUNCTION("IMPORTRANGE(""https://docs.google.com/spreadsheets/d/1XL5vhW3sbDhbH9Cz0tuDiY8C3ctxq1tqvaCgkFb8cCA/edit?usp=sharing"",""ร้อยเอ็ด!J175"")"),0)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IFERROR(__xludf.DUMMYFUNCTION("IMPORTRANGE(""https://docs.google.com/spreadsheets/d/1XL5vhW3sbDhbH9Cz0tuDiY8C3ctxq1tqvaCgkFb8cCA/edit?usp=sharing"",""ร้อยเอ็ด!J176"")"),0)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IFERROR(__xludf.DUMMYFUNCTION("IMPORTRANGE(""https://docs.google.com/spreadsheets/d/1XL5vhW3sbDhbH9Cz0tuDiY8C3ctxq1tqvaCgkFb8cCA/edit?usp=sharing"",""ร้อยเอ็ด!J177"")"),0)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IFERROR(__xludf.DUMMYFUNCTION("IMPORTRANGE(""https://docs.google.com/spreadsheets/d/1XL5vhW3sbDhbH9Cz0tuDiY8C3ctxq1tqvaCgkFb8cCA/edit?usp=sharing"",""ร้อยเอ็ด!J178"")"),0)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IFERROR(__xludf.DUMMYFUNCTION("IMPORTRANGE(""https://docs.google.com/spreadsheets/d/1XL5vhW3sbDhbH9Cz0tuDiY8C3ctxq1tqvaCgkFb8cCA/edit?usp=sharing"",""ร้อยเอ็ด!I179"")"),0)</f>
        <v>0</v>
      </c>
      <c r="J264" s="189">
        <f ca="1">IFERROR(__xludf.DUMMYFUNCTION("IMPORTRANGE(""https://docs.google.com/spreadsheets/d/1XL5vhW3sbDhbH9Cz0tuDiY8C3ctxq1tqvaCgkFb8cCA/edit?usp=sharing"",""ร้อยเอ็ด!J179"")"),0)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IFERROR(__xludf.DUMMYFUNCTION("IMPORTRANGE(""https://docs.google.com/spreadsheets/d/1XL5vhW3sbDhbH9Cz0tuDiY8C3ctxq1tqvaCgkFb8cCA/edit?usp=sharing"",""ร้อยเอ็ด!I180"")"),0)</f>
        <v>0</v>
      </c>
      <c r="J265" s="189">
        <f ca="1">IFERROR(__xludf.DUMMYFUNCTION("IMPORTRANGE(""https://docs.google.com/spreadsheets/d/1XL5vhW3sbDhbH9Cz0tuDiY8C3ctxq1tqvaCgkFb8cCA/edit?usp=sharing"",""ร้อยเอ็ด!J180"")"),0)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IFERROR(__xludf.DUMMYFUNCTION("IMPORTRANGE(""https://docs.google.com/spreadsheets/d/1XL5vhW3sbDhbH9Cz0tuDiY8C3ctxq1tqvaCgkFb8cCA/edit?usp=sharing"",""ร้อยเอ็ด!I181"")"),0)</f>
        <v>0</v>
      </c>
      <c r="J266" s="189">
        <f ca="1">IFERROR(__xludf.DUMMYFUNCTION("IMPORTRANGE(""https://docs.google.com/spreadsheets/d/1XL5vhW3sbDhbH9Cz0tuDiY8C3ctxq1tqvaCgkFb8cCA/edit?usp=sharing"",""ร้อยเอ็ด!J181"")"),0)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IFERROR(__xludf.DUMMYFUNCTION("IMPORTRANGE(""https://docs.google.com/spreadsheets/d/1XL5vhW3sbDhbH9Cz0tuDiY8C3ctxq1tqvaCgkFb8cCA/edit?usp=sharing"",""ร้อยเอ็ด!I182"")"),0)</f>
        <v>0</v>
      </c>
      <c r="J267" s="189">
        <f ca="1">IFERROR(__xludf.DUMMYFUNCTION("IMPORTRANGE(""https://docs.google.com/spreadsheets/d/1XL5vhW3sbDhbH9Cz0tuDiY8C3ctxq1tqvaCgkFb8cCA/edit?usp=sharing"",""ร้อยเอ็ด!J182"")"),0)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IFERROR(__xludf.DUMMYFUNCTION("IMPORTRANGE(""https://docs.google.com/spreadsheets/d/1XL5vhW3sbDhbH9Cz0tuDiY8C3ctxq1tqvaCgkFb8cCA/edit?usp=sharing"",""ร้อยเอ็ด!J183"")"),0)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IFERROR(__xludf.DUMMYFUNCTION("IMPORTRANGE(""https://docs.google.com/spreadsheets/d/1XL5vhW3sbDhbH9Cz0tuDiY8C3ctxq1tqvaCgkFb8cCA/edit?usp=sharing"",""ร้อยเอ็ด!J184"")"),0)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IFERROR(__xludf.DUMMYFUNCTION("IMPORTRANGE(""https://docs.google.com/spreadsheets/d/1XL5vhW3sbDhbH9Cz0tuDiY8C3ctxq1tqvaCgkFb8cCA/edit?usp=sharing"",""ร้อยเอ็ด!I185"")"),15)</f>
        <v>15</v>
      </c>
      <c r="J270" s="316">
        <f ca="1">IFERROR(__xludf.DUMMYFUNCTION("IMPORTRANGE(""https://docs.google.com/spreadsheets/d/1XL5vhW3sbDhbH9Cz0tuDiY8C3ctxq1tqvaCgkFb8cCA/edit?usp=sharing"",""ร้อยเอ็ด!J185"")"),15)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54" t="s">
        <v>17</v>
      </c>
      <c r="E271" s="555"/>
      <c r="F271" s="555"/>
      <c r="G271" s="555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30820</v>
      </c>
      <c r="O271" s="151">
        <f t="shared" ref="O271:O273" ca="1" si="84">IF(L271&gt;0,N271*100/L271,0)</f>
        <v>55.833333333333336</v>
      </c>
      <c r="P271" s="151">
        <f t="shared" ref="P271:P273" ca="1" si="85">IF(M271&gt;0,N271*100/M271,0)</f>
        <v>95.565891472868216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30820</v>
      </c>
      <c r="O273" s="156">
        <f t="shared" ca="1" si="84"/>
        <v>55.833333333333336</v>
      </c>
      <c r="P273" s="156">
        <f t="shared" ca="1" si="85"/>
        <v>95.565891472868216</v>
      </c>
    </row>
    <row r="274" spans="1:16" ht="21.75" customHeight="1" x14ac:dyDescent="0.45">
      <c r="A274" s="158"/>
      <c r="B274" s="159"/>
      <c r="C274" s="159" t="s">
        <v>16</v>
      </c>
      <c r="D274" s="552" t="s">
        <v>20</v>
      </c>
      <c r="E274" s="553"/>
      <c r="F274" s="55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537">
        <f ca="1">IFERROR(__xludf.DUMMYFUNCTION("IMPORTRANGE(""https://docs.google.com/spreadsheets/d/1Yj_ptqi66GCucihVvJfMjLAmec39IyEx_6qawtMGysU/edit?usp=sharing"",""สบก!CK48"")"),32250)</f>
        <v>32250</v>
      </c>
      <c r="N275" s="538">
        <f ca="1">IFERROR(__xludf.DUMMYFUNCTION("IMPORTRANGE(""https://docs.google.com/spreadsheets/d/1Yj_ptqi66GCucihVvJfMjLAmec39IyEx_6qawtMGysU/edit?usp=sharing"",""สบก!CL48"")"),30820)</f>
        <v>30820</v>
      </c>
      <c r="O275" s="169">
        <f ca="1">IF(L275&gt;0,N275*100/L275,0)</f>
        <v>55.833333333333336</v>
      </c>
      <c r="P275" s="169">
        <f ca="1">IF(M275&gt;0,N275*100/M275,0)</f>
        <v>95.565891472868216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537">
        <f ca="1">IFERROR(__xludf.DUMMYFUNCTION("IMPORTRANGE(""https://docs.google.com/spreadsheets/d/1Yj_ptqi66GCucihVvJfMjLAmec39IyEx_6qawtMGysU/edit?usp=sharing"",""สบก!CG48"")"),0)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537">
        <f ca="1">IFERROR(__xludf.DUMMYFUNCTION("IMPORTRANGE(""https://docs.google.com/spreadsheets/d/1Yj_ptqi66GCucihVvJfMjLAmec39IyEx_6qawtMGysU/edit?usp=sharing"",""สบก!CH48"")"),55200)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52" t="s">
        <v>23</v>
      </c>
      <c r="E278" s="553"/>
      <c r="F278" s="89"/>
      <c r="G278" s="82" t="s">
        <v>18</v>
      </c>
      <c r="H278" s="172" t="s">
        <v>12</v>
      </c>
      <c r="I278" s="162"/>
      <c r="J278" s="162"/>
      <c r="K278" s="163"/>
      <c r="L278" s="535">
        <v>0</v>
      </c>
      <c r="M278" s="535"/>
      <c r="N278" s="41"/>
      <c r="O278" s="535"/>
      <c r="P278" s="535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533">
        <f ca="1">IFERROR(__xludf.DUMMYFUNCTION("IMPORTRANGE(""https://docs.google.com/spreadsheets/d/1Yj_ptqi66GCucihVvJfMjLAmec39IyEx_6qawtMGysU/edit?usp=sharing"",""สบก!CI48"")"),0)</f>
        <v>0</v>
      </c>
      <c r="M279" s="536"/>
      <c r="N279" s="533">
        <f ca="1">IFERROR(__xludf.DUMMYFUNCTION("IMPORTRANGE(""https://docs.google.com/spreadsheets/d/1Yj_ptqi66GCucihVvJfMjLAmec39IyEx_6qawtMGysU/edit?usp=sharing"",""สบก!CM48"")"),0)</f>
        <v>0</v>
      </c>
      <c r="O279" s="536">
        <f ca="1">IF(L279&gt;0,N279*100/L279,0)</f>
        <v>0</v>
      </c>
      <c r="P279" s="536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IFERROR(__xludf.DUMMYFUNCTION("IMPORTRANGE(""https://docs.google.com/spreadsheets/d/1XL5vhW3sbDhbH9Cz0tuDiY8C3ctxq1tqvaCgkFb8cCA/edit?usp=sharing"",""ร้อยเอ็ด!J191"")"),0)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IFERROR(__xludf.DUMMYFUNCTION("IMPORTRANGE(""https://docs.google.com/spreadsheets/d/1XL5vhW3sbDhbH9Cz0tuDiY8C3ctxq1tqvaCgkFb8cCA/edit?usp=sharing"",""ร้อยเอ็ด!J192"")"),1)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IFERROR(__xludf.DUMMYFUNCTION("IMPORTRANGE(""https://docs.google.com/spreadsheets/d/1XL5vhW3sbDhbH9Cz0tuDiY8C3ctxq1tqvaCgkFb8cCA/edit?usp=sharing"",""ร้อยเอ็ด!J193"")"),1)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IFERROR(__xludf.DUMMYFUNCTION("IMPORTRANGE(""https://docs.google.com/spreadsheets/d/1XL5vhW3sbDhbH9Cz0tuDiY8C3ctxq1tqvaCgkFb8cCA/edit?usp=sharing"",""ร้อยเอ็ด!J194"")"),1)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IFERROR(__xludf.DUMMYFUNCTION("IMPORTRANGE(""https://docs.google.com/spreadsheets/d/1XL5vhW3sbDhbH9Cz0tuDiY8C3ctxq1tqvaCgkFb8cCA/edit?usp=sharing"",""ร้อยเอ็ด!I195"")"),15)</f>
        <v>15</v>
      </c>
      <c r="J285" s="189">
        <f ca="1">IFERROR(__xludf.DUMMYFUNCTION("IMPORTRANGE(""https://docs.google.com/spreadsheets/d/1XL5vhW3sbDhbH9Cz0tuDiY8C3ctxq1tqvaCgkFb8cCA/edit?usp=sharing"",""ร้อยเอ็ด!J195"")"),15)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IFERROR(__xludf.DUMMYFUNCTION("IMPORTRANGE(""https://docs.google.com/spreadsheets/d/1XL5vhW3sbDhbH9Cz0tuDiY8C3ctxq1tqvaCgkFb8cCA/edit?usp=sharing"",""ร้อยเอ็ด!J196"")"),1)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IFERROR(__xludf.DUMMYFUNCTION("IMPORTRANGE(""https://docs.google.com/spreadsheets/d/1XL5vhW3sbDhbH9Cz0tuDiY8C3ctxq1tqvaCgkFb8cCA/edit?usp=sharing"",""ร้อยเอ็ด!J197"")"),0)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IFERROR(__xludf.DUMMYFUNCTION("IMPORTRANGE(""https://docs.google.com/spreadsheets/d/1XL5vhW3sbDhbH9Cz0tuDiY8C3ctxq1tqvaCgkFb8cCA/edit?usp=sharing"",""ร้อยเอ็ด!I199"")"),0)</f>
        <v>0</v>
      </c>
      <c r="J289" s="316">
        <f ca="1">IFERROR(__xludf.DUMMYFUNCTION("IMPORTRANGE(""https://docs.google.com/spreadsheets/d/1XL5vhW3sbDhbH9Cz0tuDiY8C3ctxq1tqvaCgkFb8cCA/edit?usp=sharing"",""ร้อยเอ็ด!J199"")"),0)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54" t="s">
        <v>17</v>
      </c>
      <c r="E290" s="555"/>
      <c r="F290" s="555"/>
      <c r="G290" s="55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52" t="s">
        <v>20</v>
      </c>
      <c r="E293" s="553"/>
      <c r="F293" s="55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537">
        <f ca="1">IFERROR(__xludf.DUMMYFUNCTION("IMPORTRANGE(""https://docs.google.com/spreadsheets/d/1Yj_ptqi66GCucihVvJfMjLAmec39IyEx_6qawtMGysU/edit?usp=sharing"",""สบก!CT48"")"),0)</f>
        <v>0</v>
      </c>
      <c r="N294" s="538">
        <f ca="1">IFERROR(__xludf.DUMMYFUNCTION("IMPORTRANGE(""https://docs.google.com/spreadsheets/d/1Yj_ptqi66GCucihVvJfMjLAmec39IyEx_6qawtMGysU/edit?usp=sharing"",""สบก!CU48"")"),0)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537">
        <f ca="1">IFERROR(__xludf.DUMMYFUNCTION("IMPORTRANGE(""https://docs.google.com/spreadsheets/d/1Yj_ptqi66GCucihVvJfMjLAmec39IyEx_6qawtMGysU/edit?usp=sharing"",""สบก!CP48"")"),0)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537">
        <f ca="1">IFERROR(__xludf.DUMMYFUNCTION("IMPORTRANGE(""https://docs.google.com/spreadsheets/d/1Yj_ptqi66GCucihVvJfMjLAmec39IyEx_6qawtMGysU/edit?usp=sharing"",""สบก!CQ48"")"),0)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52" t="s">
        <v>23</v>
      </c>
      <c r="E297" s="553"/>
      <c r="F297" s="89"/>
      <c r="G297" s="82" t="s">
        <v>18</v>
      </c>
      <c r="H297" s="172" t="s">
        <v>12</v>
      </c>
      <c r="I297" s="188"/>
      <c r="J297" s="188"/>
      <c r="K297" s="224"/>
      <c r="L297" s="535">
        <v>0</v>
      </c>
      <c r="M297" s="535"/>
      <c r="N297" s="41"/>
      <c r="O297" s="535"/>
      <c r="P297" s="535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533">
        <f ca="1">IFERROR(__xludf.DUMMYFUNCTION("IMPORTRANGE(""https://docs.google.com/spreadsheets/d/1Yj_ptqi66GCucihVvJfMjLAmec39IyEx_6qawtMGysU/edit?usp=sharing"",""สบก!CR48"")"),0)</f>
        <v>0</v>
      </c>
      <c r="M298" s="536"/>
      <c r="N298" s="533">
        <f ca="1">IFERROR(__xludf.DUMMYFUNCTION("IMPORTRANGE(""https://docs.google.com/spreadsheets/d/1Yj_ptqi66GCucihVvJfMjLAmec39IyEx_6qawtMGysU/edit?usp=sharing"",""สบก!CV48"")"),0)</f>
        <v>0</v>
      </c>
      <c r="O298" s="536">
        <f ca="1">IF(L298&gt;0,N298*100/L298,0)</f>
        <v>0</v>
      </c>
      <c r="P298" s="536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IFERROR(__xludf.DUMMYFUNCTION("IMPORTRANGE(""https://docs.google.com/spreadsheets/d/1XL5vhW3sbDhbH9Cz0tuDiY8C3ctxq1tqvaCgkFb8cCA/edit?usp=sharing"",""ร้อยเอ็ด!J205"")"),0)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IFERROR(__xludf.DUMMYFUNCTION("IMPORTRANGE(""https://docs.google.com/spreadsheets/d/1XL5vhW3sbDhbH9Cz0tuDiY8C3ctxq1tqvaCgkFb8cCA/edit?usp=sharing"",""ร้อยเอ็ด!J206"")"),0)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IFERROR(__xludf.DUMMYFUNCTION("IMPORTRANGE(""https://docs.google.com/spreadsheets/d/1XL5vhW3sbDhbH9Cz0tuDiY8C3ctxq1tqvaCgkFb8cCA/edit?usp=sharing"",""ร้อยเอ็ด!J207"")"),0)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IFERROR(__xludf.DUMMYFUNCTION("IMPORTRANGE(""https://docs.google.com/spreadsheets/d/1XL5vhW3sbDhbH9Cz0tuDiY8C3ctxq1tqvaCgkFb8cCA/edit?usp=sharing"",""ร้อยเอ็ด!J208"")"),0)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IFERROR(__xludf.DUMMYFUNCTION("IMPORTRANGE(""https://docs.google.com/spreadsheets/d/1XL5vhW3sbDhbH9Cz0tuDiY8C3ctxq1tqvaCgkFb8cCA/edit?usp=sharing"",""ร้อยเอ็ด!I209"")"),0)</f>
        <v>0</v>
      </c>
      <c r="J304" s="204">
        <f ca="1">IFERROR(__xludf.DUMMYFUNCTION("IMPORTRANGE(""https://docs.google.com/spreadsheets/d/1XL5vhW3sbDhbH9Cz0tuDiY8C3ctxq1tqvaCgkFb8cCA/edit?usp=sharing"",""ร้อยเอ็ด!J209"")"),0)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IFERROR(__xludf.DUMMYFUNCTION("IMPORTRANGE(""https://docs.google.com/spreadsheets/d/1XL5vhW3sbDhbH9Cz0tuDiY8C3ctxq1tqvaCgkFb8cCA/edit?usp=sharing"",""ร้อยเอ็ด!I211"")"),0)</f>
        <v>0</v>
      </c>
      <c r="J306" s="204">
        <f ca="1">IFERROR(__xludf.DUMMYFUNCTION("IMPORTRANGE(""https://docs.google.com/spreadsheets/d/1XL5vhW3sbDhbH9Cz0tuDiY8C3ctxq1tqvaCgkFb8cCA/edit?usp=sharing"",""ร้อยเอ็ด!J211"")"),0)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IFERROR(__xludf.DUMMYFUNCTION("IMPORTRANGE(""https://docs.google.com/spreadsheets/d/1XL5vhW3sbDhbH9Cz0tuDiY8C3ctxq1tqvaCgkFb8cCA/edit?usp=sharing"",""ร้อยเอ็ด!J212"")"),0)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IFERROR(__xludf.DUMMYFUNCTION("IMPORTRANGE(""https://docs.google.com/spreadsheets/d/1XL5vhW3sbDhbH9Cz0tuDiY8C3ctxq1tqvaCgkFb8cCA/edit?usp=sharing"",""ร้อยเอ็ด!J213"")"),0)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IFERROR(__xludf.DUMMYFUNCTION("IMPORTRANGE(""https://docs.google.com/spreadsheets/d/1XL5vhW3sbDhbH9Cz0tuDiY8C3ctxq1tqvaCgkFb8cCA/edit?usp=sharing"",""ร้อยเอ็ด!I214"")"),0)</f>
        <v>0</v>
      </c>
      <c r="J309" s="333">
        <f ca="1">IFERROR(__xludf.DUMMYFUNCTION("IMPORTRANGE(""https://docs.google.com/spreadsheets/d/1XL5vhW3sbDhbH9Cz0tuDiY8C3ctxq1tqvaCgkFb8cCA/edit?usp=sharing"",""ร้อยเอ็ด!J214"")"),0)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54" t="s">
        <v>17</v>
      </c>
      <c r="E310" s="555"/>
      <c r="F310" s="555"/>
      <c r="G310" s="55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52" t="s">
        <v>20</v>
      </c>
      <c r="E313" s="553"/>
      <c r="F313" s="55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537">
        <f ca="1">IFERROR(__xludf.DUMMYFUNCTION("IMPORTRANGE(""https://docs.google.com/spreadsheets/d/1Yj_ptqi66GCucihVvJfMjLAmec39IyEx_6qawtMGysU/edit?usp=sharing"",""สบก!DC48"")"),0)</f>
        <v>0</v>
      </c>
      <c r="N314" s="538">
        <f ca="1">IFERROR(__xludf.DUMMYFUNCTION("IMPORTRANGE(""https://docs.google.com/spreadsheets/d/1Yj_ptqi66GCucihVvJfMjLAmec39IyEx_6qawtMGysU/edit?usp=sharing"",""สบก!DD48"")"),0)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537">
        <f ca="1">IFERROR(__xludf.DUMMYFUNCTION("IMPORTRANGE(""https://docs.google.com/spreadsheets/d/1Yj_ptqi66GCucihVvJfMjLAmec39IyEx_6qawtMGysU/edit?usp=sharing"",""สบก!CY48"")"),0)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537">
        <f ca="1">IFERROR(__xludf.DUMMYFUNCTION("IMPORTRANGE(""https://docs.google.com/spreadsheets/d/1Yj_ptqi66GCucihVvJfMjLAmec39IyEx_6qawtMGysU/edit?usp=sharing"",""สบก!CZ48"")"),0)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52" t="s">
        <v>23</v>
      </c>
      <c r="E317" s="553"/>
      <c r="F317" s="89"/>
      <c r="G317" s="82" t="s">
        <v>18</v>
      </c>
      <c r="H317" s="172" t="s">
        <v>12</v>
      </c>
      <c r="I317" s="162"/>
      <c r="J317" s="188"/>
      <c r="K317" s="224"/>
      <c r="L317" s="535">
        <v>0</v>
      </c>
      <c r="M317" s="535"/>
      <c r="N317" s="41"/>
      <c r="O317" s="535"/>
      <c r="P317" s="535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533">
        <f ca="1">IFERROR(__xludf.DUMMYFUNCTION("IMPORTRANGE(""https://docs.google.com/spreadsheets/d/1Yj_ptqi66GCucihVvJfMjLAmec39IyEx_6qawtMGysU/edit?usp=sharing"",""สบก!DA48"")"),0)</f>
        <v>0</v>
      </c>
      <c r="M318" s="536"/>
      <c r="N318" s="533">
        <f ca="1">IFERROR(__xludf.DUMMYFUNCTION("IMPORTRANGE(""https://docs.google.com/spreadsheets/d/1Yj_ptqi66GCucihVvJfMjLAmec39IyEx_6qawtMGysU/edit?usp=sharing"",""สบก!DE48"")"),0)</f>
        <v>0</v>
      </c>
      <c r="O318" s="536">
        <f ca="1">IF(L318&gt;0,N318*100/L318,0)</f>
        <v>0</v>
      </c>
      <c r="P318" s="536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IFERROR(__xludf.DUMMYFUNCTION("IMPORTRANGE(""https://docs.google.com/spreadsheets/d/1XL5vhW3sbDhbH9Cz0tuDiY8C3ctxq1tqvaCgkFb8cCA/edit?usp=sharing"",""ร้อยเอ็ด!J220"")"),0)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IFERROR(__xludf.DUMMYFUNCTION("IMPORTRANGE(""https://docs.google.com/spreadsheets/d/1XL5vhW3sbDhbH9Cz0tuDiY8C3ctxq1tqvaCgkFb8cCA/edit?usp=sharing"",""ร้อยเอ็ด!J221"")"),0)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IFERROR(__xludf.DUMMYFUNCTION("IMPORTRANGE(""https://docs.google.com/spreadsheets/d/1XL5vhW3sbDhbH9Cz0tuDiY8C3ctxq1tqvaCgkFb8cCA/edit?usp=sharing"",""ร้อยเอ็ด!J222"")"),0)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IFERROR(__xludf.DUMMYFUNCTION("IMPORTRANGE(""https://docs.google.com/spreadsheets/d/1XL5vhW3sbDhbH9Cz0tuDiY8C3ctxq1tqvaCgkFb8cCA/edit?usp=sharing"",""ร้อยเอ็ด!J223"")"),0)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IFERROR(__xludf.DUMMYFUNCTION("IMPORTRANGE(""https://docs.google.com/spreadsheets/d/1XL5vhW3sbDhbH9Cz0tuDiY8C3ctxq1tqvaCgkFb8cCA/edit?usp=sharing"",""ร้อยเอ็ด!I224"")"),0)</f>
        <v>0</v>
      </c>
      <c r="J324" s="204">
        <f ca="1">IFERROR(__xludf.DUMMYFUNCTION("IMPORTRANGE(""https://docs.google.com/spreadsheets/d/1XL5vhW3sbDhbH9Cz0tuDiY8C3ctxq1tqvaCgkFb8cCA/edit?usp=sharing"",""ร้อยเอ็ด!J224"")"),0)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IFERROR(__xludf.DUMMYFUNCTION("IMPORTRANGE(""https://docs.google.com/spreadsheets/d/1XL5vhW3sbDhbH9Cz0tuDiY8C3ctxq1tqvaCgkFb8cCA/edit?usp=sharing"",""ร้อยเอ็ด!J225"")"),0)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IFERROR(__xludf.DUMMYFUNCTION("IMPORTRANGE(""https://docs.google.com/spreadsheets/d/1XL5vhW3sbDhbH9Cz0tuDiY8C3ctxq1tqvaCgkFb8cCA/edit?usp=sharing"",""ร้อยเอ็ด!J226"")"),0)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IFERROR(__xludf.DUMMYFUNCTION("IMPORTRANGE(""https://docs.google.com/spreadsheets/d/1XL5vhW3sbDhbH9Cz0tuDiY8C3ctxq1tqvaCgkFb8cCA/edit?usp=sharing"",""ร้อยเอ็ด!I228"")"),490)</f>
        <v>490</v>
      </c>
      <c r="J328" s="339">
        <f ca="1">IFERROR(__xludf.DUMMYFUNCTION("IMPORTRANGE(""https://docs.google.com/spreadsheets/d/1XL5vhW3sbDhbH9Cz0tuDiY8C3ctxq1tqvaCgkFb8cCA/edit?usp=sharing"",""ร้อยเอ็ด!J228"")"),489)</f>
        <v>489</v>
      </c>
      <c r="K328" s="317">
        <f ca="1">IF(I328&gt;0,J328*100/I328,0)</f>
        <v>99.795918367346943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54" t="s">
        <v>17</v>
      </c>
      <c r="E329" s="555"/>
      <c r="F329" s="555"/>
      <c r="G329" s="555"/>
      <c r="H329" s="149" t="s">
        <v>12</v>
      </c>
      <c r="I329" s="162"/>
      <c r="J329" s="162"/>
      <c r="K329" s="163"/>
      <c r="L329" s="152">
        <f t="shared" ref="L329:N329" ca="1" si="98">L330+L331</f>
        <v>1146440</v>
      </c>
      <c r="M329" s="152">
        <f t="shared" ca="1" si="98"/>
        <v>860030</v>
      </c>
      <c r="N329" s="152">
        <f t="shared" ca="1" si="98"/>
        <v>678321.4</v>
      </c>
      <c r="O329" s="151">
        <f t="shared" ref="O329:O331" ca="1" si="99">IF(L329&gt;0,N329*100/L329,0)</f>
        <v>59.167631973762255</v>
      </c>
      <c r="P329" s="151">
        <f t="shared" ref="P329:P331" ca="1" si="100">IF(M329&gt;0,N329*100/M329,0)</f>
        <v>78.871830052440032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1146440</v>
      </c>
      <c r="M331" s="157">
        <f t="shared" ca="1" si="102"/>
        <v>860030</v>
      </c>
      <c r="N331" s="157">
        <f t="shared" ca="1" si="102"/>
        <v>678321.4</v>
      </c>
      <c r="O331" s="156">
        <f t="shared" ca="1" si="99"/>
        <v>59.167631973762255</v>
      </c>
      <c r="P331" s="156">
        <f t="shared" ca="1" si="100"/>
        <v>78.871830052440032</v>
      </c>
    </row>
    <row r="332" spans="1:16" ht="21.75" customHeight="1" x14ac:dyDescent="0.45">
      <c r="A332" s="158"/>
      <c r="B332" s="159"/>
      <c r="C332" s="159" t="s">
        <v>16</v>
      </c>
      <c r="D332" s="552" t="s">
        <v>20</v>
      </c>
      <c r="E332" s="553"/>
      <c r="F332" s="55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962440</v>
      </c>
      <c r="M333" s="537">
        <f ca="1">IFERROR(__xludf.DUMMYFUNCTION("IMPORTRANGE(""https://docs.google.com/spreadsheets/d/1Yj_ptqi66GCucihVvJfMjLAmec39IyEx_6qawtMGysU/edit?usp=sharing"",""สบก!DL48"")"),676030)</f>
        <v>676030</v>
      </c>
      <c r="N333" s="538">
        <f ca="1">IFERROR(__xludf.DUMMYFUNCTION("IMPORTRANGE(""https://docs.google.com/spreadsheets/d/1Yj_ptqi66GCucihVvJfMjLAmec39IyEx_6qawtMGysU/edit?usp=sharing"",""สบก!DM48"")"),494321.4)</f>
        <v>494321.4</v>
      </c>
      <c r="O333" s="169">
        <f ca="1">IF(L333&gt;0,N333*100/L333,0)</f>
        <v>51.361269273928762</v>
      </c>
      <c r="P333" s="169">
        <f ca="1">IF(M333&gt;0,N333*100/M333,0)</f>
        <v>73.121222430957204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537">
        <f ca="1">IFERROR(__xludf.DUMMYFUNCTION("IMPORTRANGE(""https://docs.google.com/spreadsheets/d/1Yj_ptqi66GCucihVvJfMjLAmec39IyEx_6qawtMGysU/edit?usp=sharing"",""สบก!DH48"")"),194400)</f>
        <v>194400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537">
        <f ca="1">IFERROR(__xludf.DUMMYFUNCTION("IMPORTRANGE(""https://docs.google.com/spreadsheets/d/1Yj_ptqi66GCucihVvJfMjLAmec39IyEx_6qawtMGysU/edit?usp=sharing"",""สบก!DI48"")"),768040)</f>
        <v>768040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52" t="s">
        <v>23</v>
      </c>
      <c r="E336" s="553"/>
      <c r="F336" s="89"/>
      <c r="G336" s="82" t="s">
        <v>18</v>
      </c>
      <c r="H336" s="172" t="s">
        <v>12</v>
      </c>
      <c r="I336" s="162"/>
      <c r="J336" s="162"/>
      <c r="K336" s="163"/>
      <c r="L336" s="535">
        <v>0</v>
      </c>
      <c r="M336" s="535"/>
      <c r="N336" s="41"/>
      <c r="O336" s="535"/>
      <c r="P336" s="535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533">
        <f ca="1">IFERROR(__xludf.DUMMYFUNCTION("IMPORTRANGE(""https://docs.google.com/spreadsheets/d/1Yj_ptqi66GCucihVvJfMjLAmec39IyEx_6qawtMGysU/edit?usp=sharing"",""สบก!DJ48"")"),184000)</f>
        <v>184000</v>
      </c>
      <c r="M337" s="536">
        <f ca="1">L337</f>
        <v>184000</v>
      </c>
      <c r="N337" s="533">
        <f ca="1">IFERROR(__xludf.DUMMYFUNCTION("IMPORTRANGE(""https://docs.google.com/spreadsheets/d/1Yj_ptqi66GCucihVvJfMjLAmec39IyEx_6qawtMGysU/edit?usp=sharing"",""สบก!DN48"")"),184000)</f>
        <v>184000</v>
      </c>
      <c r="O337" s="536">
        <f ca="1">IF(L337&gt;0,N337*100/L337,0)</f>
        <v>100</v>
      </c>
      <c r="P337" s="536">
        <f ca="1">IF(M337&gt;0,N337*100/M337,0)</f>
        <v>100</v>
      </c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IFERROR(__xludf.DUMMYFUNCTION("IMPORTRANGE(""https://docs.google.com/spreadsheets/d/1XL5vhW3sbDhbH9Cz0tuDiY8C3ctxq1tqvaCgkFb8cCA/edit?usp=sharing"",""ร้อยเอ็ด!I234"")"),0)</f>
        <v>0</v>
      </c>
      <c r="J339" s="188">
        <f ca="1">IFERROR(__xludf.DUMMYFUNCTION("IMPORTRANGE(""https://docs.google.com/spreadsheets/d/1XL5vhW3sbDhbH9Cz0tuDiY8C3ctxq1tqvaCgkFb8cCA/edit?usp=sharing"",""ร้อยเอ็ด!J234"")"),290)</f>
        <v>290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IFERROR(__xludf.DUMMYFUNCTION("IMPORTRANGE(""https://docs.google.com/spreadsheets/d/1XL5vhW3sbDhbH9Cz0tuDiY8C3ctxq1tqvaCgkFb8cCA/edit?usp=sharing"",""ร้อยเอ็ด!I235"")"),4600)</f>
        <v>4600</v>
      </c>
      <c r="J340" s="188">
        <f ca="1">IFERROR(__xludf.DUMMYFUNCTION("IMPORTRANGE(""https://docs.google.com/spreadsheets/d/1XL5vhW3sbDhbH9Cz0tuDiY8C3ctxq1tqvaCgkFb8cCA/edit?usp=sharing"",""ร้อยเอ็ด!J235"")"),2281.39999999999)</f>
        <v>2281.3999999999901</v>
      </c>
      <c r="K340" s="342">
        <f t="shared" ca="1" si="103"/>
        <v>49.595652173912825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IFERROR(__xludf.DUMMYFUNCTION("IMPORTRANGE(""https://docs.google.com/spreadsheets/d/1XL5vhW3sbDhbH9Cz0tuDiY8C3ctxq1tqvaCgkFb8cCA/edit?usp=sharing"",""ร้อยเอ็ด!I236"")"),490)</f>
        <v>490</v>
      </c>
      <c r="J341" s="188">
        <f ca="1">IFERROR(__xludf.DUMMYFUNCTION("IMPORTRANGE(""https://docs.google.com/spreadsheets/d/1XL5vhW3sbDhbH9Cz0tuDiY8C3ctxq1tqvaCgkFb8cCA/edit?usp=sharing"",""ร้อยเอ็ด!J236"")"),577)</f>
        <v>577</v>
      </c>
      <c r="K341" s="342">
        <f t="shared" ca="1" si="103"/>
        <v>117.75510204081633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IFERROR(__xludf.DUMMYFUNCTION("IMPORTRANGE(""https://docs.google.com/spreadsheets/d/1XL5vhW3sbDhbH9Cz0tuDiY8C3ctxq1tqvaCgkFb8cCA/edit?usp=sharing"",""ร้อยเอ็ด!I237"")"),0)</f>
        <v>0</v>
      </c>
      <c r="J342" s="188">
        <f ca="1">IFERROR(__xludf.DUMMYFUNCTION("IMPORTRANGE(""https://docs.google.com/spreadsheets/d/1XL5vhW3sbDhbH9Cz0tuDiY8C3ctxq1tqvaCgkFb8cCA/edit?usp=sharing"",""ร้อยเอ็ด!J237"")"),5826.07)</f>
        <v>5826.07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IFERROR(__xludf.DUMMYFUNCTION("IMPORTRANGE(""https://docs.google.com/spreadsheets/d/1XL5vhW3sbDhbH9Cz0tuDiY8C3ctxq1tqvaCgkFb8cCA/edit?usp=sharing"",""ร้อยเอ็ด!I238"")"),490)</f>
        <v>490</v>
      </c>
      <c r="J343" s="188">
        <f ca="1">IFERROR(__xludf.DUMMYFUNCTION("IMPORTRANGE(""https://docs.google.com/spreadsheets/d/1XL5vhW3sbDhbH9Cz0tuDiY8C3ctxq1tqvaCgkFb8cCA/edit?usp=sharing"",""ร้อยเอ็ด!J238"")"),0)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IFERROR(__xludf.DUMMYFUNCTION("IMPORTRANGE(""https://docs.google.com/spreadsheets/d/1XL5vhW3sbDhbH9Cz0tuDiY8C3ctxq1tqvaCgkFb8cCA/edit?usp=sharing"",""ร้อยเอ็ด!I239"")"),0)</f>
        <v>0</v>
      </c>
      <c r="J344" s="188">
        <f ca="1">IFERROR(__xludf.DUMMYFUNCTION("IMPORTRANGE(""https://docs.google.com/spreadsheets/d/1XL5vhW3sbDhbH9Cz0tuDiY8C3ctxq1tqvaCgkFb8cCA/edit?usp=sharing"",""ร้อยเอ็ด!J239"")"),0)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IFERROR(__xludf.DUMMYFUNCTION("IMPORTRANGE(""https://docs.google.com/spreadsheets/d/1XL5vhW3sbDhbH9Cz0tuDiY8C3ctxq1tqvaCgkFb8cCA/edit?usp=sharing"",""ร้อยเอ็ด!I240"")"),490)</f>
        <v>490</v>
      </c>
      <c r="J345" s="188">
        <f ca="1">IFERROR(__xludf.DUMMYFUNCTION("IMPORTRANGE(""https://docs.google.com/spreadsheets/d/1XL5vhW3sbDhbH9Cz0tuDiY8C3ctxq1tqvaCgkFb8cCA/edit?usp=sharing"",""ร้อยเอ็ด!J240"")"),489)</f>
        <v>489</v>
      </c>
      <c r="K345" s="342">
        <f t="shared" ca="1" si="103"/>
        <v>99.795918367346943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IFERROR(__xludf.DUMMYFUNCTION("IMPORTRANGE(""https://docs.google.com/spreadsheets/d/1XL5vhW3sbDhbH9Cz0tuDiY8C3ctxq1tqvaCgkFb8cCA/edit?usp=sharing"",""ร้อยเอ็ด!I241"")"),0)</f>
        <v>0</v>
      </c>
      <c r="J346" s="188">
        <f ca="1">IFERROR(__xludf.DUMMYFUNCTION("IMPORTRANGE(""https://docs.google.com/spreadsheets/d/1XL5vhW3sbDhbH9Cz0tuDiY8C3ctxq1tqvaCgkFb8cCA/edit?usp=sharing"",""ร้อยเอ็ด!J241"")"),4796.74)</f>
        <v>4796.74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IFERROR(__xludf.DUMMYFUNCTION("IMPORTRANGE(""https://docs.google.com/spreadsheets/d/1XL5vhW3sbDhbH9Cz0tuDiY8C3ctxq1tqvaCgkFb8cCA/edit?usp=sharing"",""ร้อยเอ็ด!L242"")"),2886153)</f>
        <v>2886153</v>
      </c>
      <c r="M347" s="358"/>
      <c r="N347" s="358">
        <f ca="1">IFERROR(__xludf.DUMMYFUNCTION("IMPORTRANGE(""https://docs.google.com/spreadsheets/d/1XL5vhW3sbDhbH9Cz0tuDiY8C3ctxq1tqvaCgkFb8cCA/edit?usp=sharing"",""ร้อยเอ็ด!M242"")"),1425214.80999999)</f>
        <v>1425214.80999999</v>
      </c>
      <c r="O347" s="358">
        <f ca="1">+IF(L347&gt;0,N347*100/L347,0)</f>
        <v>49.381124631992492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IFERROR(__xludf.DUMMYFUNCTION("IMPORTRANGE(""https://docs.google.com/spreadsheets/d/1XL5vhW3sbDhbH9Cz0tuDiY8C3ctxq1tqvaCgkFb8cCA/edit?usp=sharing"",""ร้อยเอ็ด!I244"")"),403)</f>
        <v>403</v>
      </c>
      <c r="J349" s="371">
        <f ca="1">IFERROR(__xludf.DUMMYFUNCTION("IMPORTRANGE(""https://docs.google.com/spreadsheets/d/1XL5vhW3sbDhbH9Cz0tuDiY8C3ctxq1tqvaCgkFb8cCA/edit?usp=sharing"",""ร้อยเอ็ด!J244"")"),403)</f>
        <v>403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IFERROR(__xludf.DUMMYFUNCTION("IMPORTRANGE(""https://docs.google.com/spreadsheets/d/1XL5vhW3sbDhbH9Cz0tuDiY8C3ctxq1tqvaCgkFb8cCA/edit?usp=sharing"",""ร้อยเอ็ด!L244"")"),644830)</f>
        <v>644830</v>
      </c>
      <c r="M349" s="373"/>
      <c r="N349" s="373">
        <f ca="1">IFERROR(__xludf.DUMMYFUNCTION("IMPORTRANGE(""https://docs.google.com/spreadsheets/d/1XL5vhW3sbDhbH9Cz0tuDiY8C3ctxq1tqvaCgkFb8cCA/edit?usp=sharing"",""ร้อยเอ็ด!M244"")"),536727.88)</f>
        <v>536727.88</v>
      </c>
      <c r="O349" s="373">
        <f ca="1">+IF(L349&gt;0,N349*100/L349,0)</f>
        <v>83.235562861529402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IFERROR(__xludf.DUMMYFUNCTION("IMPORTRANGE(""https://docs.google.com/spreadsheets/d/1XL5vhW3sbDhbH9Cz0tuDiY8C3ctxq1tqvaCgkFb8cCA/edit?usp=sharing"",""ร้อยเอ็ด!I245"")"),85)</f>
        <v>85</v>
      </c>
      <c r="J350" s="371">
        <f ca="1">IFERROR(__xludf.DUMMYFUNCTION("IMPORTRANGE(""https://docs.google.com/spreadsheets/d/1XL5vhW3sbDhbH9Cz0tuDiY8C3ctxq1tqvaCgkFb8cCA/edit?usp=sharing"",""ร้อยเอ็ด!J245"")"),85)</f>
        <v>85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IFERROR(__xludf.DUMMYFUNCTION("IMPORTRANGE(""https://docs.google.com/spreadsheets/d/1XL5vhW3sbDhbH9Cz0tuDiY8C3ctxq1tqvaCgkFb8cCA/edit?usp=sharing"",""ร้อยเอ็ด!L246"")"),0)</f>
        <v>0</v>
      </c>
      <c r="M351" s="164"/>
      <c r="N351" s="164">
        <f ca="1">IFERROR(__xludf.DUMMYFUNCTION("IMPORTRANGE(""https://docs.google.com/spreadsheets/d/1XL5vhW3sbDhbH9Cz0tuDiY8C3ctxq1tqvaCgkFb8cCA/edit?usp=sharing"",""ร้อยเอ็ด!M246"")"),0)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IFERROR(__xludf.DUMMYFUNCTION("IMPORTRANGE(""https://docs.google.com/spreadsheets/d/1XL5vhW3sbDhbH9Cz0tuDiY8C3ctxq1tqvaCgkFb8cCA/edit?usp=sharing"",""ร้อยเอ็ด!L247"")"),644830)</f>
        <v>644830</v>
      </c>
      <c r="M352" s="165"/>
      <c r="N352" s="164">
        <f ca="1">IFERROR(__xludf.DUMMYFUNCTION("IMPORTRANGE(""https://docs.google.com/spreadsheets/d/1XL5vhW3sbDhbH9Cz0tuDiY8C3ctxq1tqvaCgkFb8cCA/edit?usp=sharing"",""ร้อยเอ็ด!M247"")"),536727.88)</f>
        <v>536727.88</v>
      </c>
      <c r="O352" s="165">
        <f t="shared" ca="1" si="105"/>
        <v>83.235562861529402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IFERROR(__xludf.DUMMYFUNCTION("IMPORTRANGE(""https://docs.google.com/spreadsheets/d/1XL5vhW3sbDhbH9Cz0tuDiY8C3ctxq1tqvaCgkFb8cCA/edit?usp=sharing"",""ร้อยเอ็ด!L248"")"),0)</f>
        <v>0</v>
      </c>
      <c r="M353" s="169"/>
      <c r="N353" s="169">
        <f ca="1">IFERROR(__xludf.DUMMYFUNCTION("IMPORTRANGE(""https://docs.google.com/spreadsheets/d/1XL5vhW3sbDhbH9Cz0tuDiY8C3ctxq1tqvaCgkFb8cCA/edit?usp=sharing"",""ร้อยเอ็ด!M248"")"),0)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IFERROR(__xludf.DUMMYFUNCTION("IMPORTRANGE(""https://docs.google.com/spreadsheets/d/1XL5vhW3sbDhbH9Cz0tuDiY8C3ctxq1tqvaCgkFb8cCA/edit?usp=sharing"",""ร้อยเอ็ด!L249"")"),644830)</f>
        <v>644830</v>
      </c>
      <c r="M354" s="169"/>
      <c r="N354" s="168">
        <f ca="1">IFERROR(__xludf.DUMMYFUNCTION("IMPORTRANGE(""https://docs.google.com/spreadsheets/d/1XL5vhW3sbDhbH9Cz0tuDiY8C3ctxq1tqvaCgkFb8cCA/edit?usp=sharing"",""ร้อยเอ็ด!M249"")"),536727.88)</f>
        <v>536727.88</v>
      </c>
      <c r="O354" s="169">
        <f t="shared" ca="1" si="105"/>
        <v>83.235562861529402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IFERROR(__xludf.DUMMYFUNCTION("IMPORTRANGE(""https://docs.google.com/spreadsheets/d/1XL5vhW3sbDhbH9Cz0tuDiY8C3ctxq1tqvaCgkFb8cCA/edit?usp=sharing"",""ร้อยเอ็ด!M250"")"),103880)</f>
        <v>103880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IFERROR(__xludf.DUMMYFUNCTION("IMPORTRANGE(""https://docs.google.com/spreadsheets/d/1XL5vhW3sbDhbH9Cz0tuDiY8C3ctxq1tqvaCgkFb8cCA/edit?usp=sharing"",""ร้อยเอ็ด!M251"")"),351100)</f>
        <v>351100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IFERROR(__xludf.DUMMYFUNCTION("IMPORTRANGE(""https://docs.google.com/spreadsheets/d/1XL5vhW3sbDhbH9Cz0tuDiY8C3ctxq1tqvaCgkFb8cCA/edit?usp=sharing"",""ร้อยเอ็ด!M252"")"),61386.88)</f>
        <v>61386.879999999997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IFERROR(__xludf.DUMMYFUNCTION("IMPORTRANGE(""https://docs.google.com/spreadsheets/d/1XL5vhW3sbDhbH9Cz0tuDiY8C3ctxq1tqvaCgkFb8cCA/edit?usp=sharing"",""ร้อยเอ็ด!M253"")"),20361)</f>
        <v>20361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IFERROR(__xludf.DUMMYFUNCTION("IMPORTRANGE(""https://docs.google.com/spreadsheets/d/1XL5vhW3sbDhbH9Cz0tuDiY8C3ctxq1tqvaCgkFb8cCA/edit?usp=sharing"",""ร้อยเอ็ด!J255"")"),0)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IFERROR(__xludf.DUMMYFUNCTION("IMPORTRANGE(""https://docs.google.com/spreadsheets/d/1XL5vhW3sbDhbH9Cz0tuDiY8C3ctxq1tqvaCgkFb8cCA/edit?usp=sharing"",""ร้อยเอ็ด!J256"")"),0)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IFERROR(__xludf.DUMMYFUNCTION("IMPORTRANGE(""https://docs.google.com/spreadsheets/d/1XL5vhW3sbDhbH9Cz0tuDiY8C3ctxq1tqvaCgkFb8cCA/edit?usp=sharing"",""ร้อยเอ็ด!J257"")"),1)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IFERROR(__xludf.DUMMYFUNCTION("IMPORTRANGE(""https://docs.google.com/spreadsheets/d/1XL5vhW3sbDhbH9Cz0tuDiY8C3ctxq1tqvaCgkFb8cCA/edit?usp=sharing"",""ร้อยเอ็ด!J258"")"),0)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IFERROR(__xludf.DUMMYFUNCTION("IMPORTRANGE(""https://docs.google.com/spreadsheets/d/1XL5vhW3sbDhbH9Cz0tuDiY8C3ctxq1tqvaCgkFb8cCA/edit?usp=sharing"",""ร้อยเอ็ด!J166"")"),0)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IFERROR(__xludf.DUMMYFUNCTION("IMPORTRANGE(""https://docs.google.com/spreadsheets/d/1XL5vhW3sbDhbH9Cz0tuDiY8C3ctxq1tqvaCgkFb8cCA/edit?usp=sharing"",""ร้อยเอ็ด!J166"")"),0)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IFERROR(__xludf.DUMMYFUNCTION("IMPORTRANGE(""https://docs.google.com/spreadsheets/d/1XL5vhW3sbDhbH9Cz0tuDiY8C3ctxq1tqvaCgkFb8cCA/edit?usp=sharing"",""ร้อยเอ็ด!J166"")"),0)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IFERROR(__xludf.DUMMYFUNCTION("IMPORTRANGE(""https://docs.google.com/spreadsheets/d/1XL5vhW3sbDhbH9Cz0tuDiY8C3ctxq1tqvaCgkFb8cCA/edit?usp=sharing"",""ร้อยเอ็ด!J166"")"),0)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IFERROR(__xludf.DUMMYFUNCTION("IMPORTRANGE(""https://docs.google.com/spreadsheets/d/1XL5vhW3sbDhbH9Cz0tuDiY8C3ctxq1tqvaCgkFb8cCA/edit?usp=sharing"",""ร้อยเอ็ด!I263"")"),85)</f>
        <v>85</v>
      </c>
      <c r="J368" s="188">
        <f ca="1">IFERROR(__xludf.DUMMYFUNCTION("IMPORTRANGE(""https://docs.google.com/spreadsheets/d/1XL5vhW3sbDhbH9Cz0tuDiY8C3ctxq1tqvaCgkFb8cCA/edit?usp=sharing"",""ร้อยเอ็ด!J263"")"),85)</f>
        <v>85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IFERROR(__xludf.DUMMYFUNCTION("IMPORTRANGE(""https://docs.google.com/spreadsheets/d/1XL5vhW3sbDhbH9Cz0tuDiY8C3ctxq1tqvaCgkFb8cCA/edit?usp=sharing"",""ร้อยเอ็ด!I164"")"),0)</f>
        <v>0</v>
      </c>
      <c r="J369" s="204">
        <f ca="1">IFERROR(__xludf.DUMMYFUNCTION("IMPORTRANGE(""https://docs.google.com/spreadsheets/d/1XL5vhW3sbDhbH9Cz0tuDiY8C3ctxq1tqvaCgkFb8cCA/edit?usp=sharing"",""ร้อยเอ็ด!J164"")"),0)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293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IFERROR(__xludf.DUMMYFUNCTION("IMPORTRANGE(""https://docs.google.com/spreadsheets/d/1XL5vhW3sbDhbH9Cz0tuDiY8C3ctxq1tqvaCgkFb8cCA/edit?usp=sharing"",""ร้อยเอ็ด!I265"")"),85)</f>
        <v>85</v>
      </c>
      <c r="J370" s="204">
        <f ca="1">IFERROR(__xludf.DUMMYFUNCTION("IMPORTRANGE(""https://docs.google.com/spreadsheets/d/1XL5vhW3sbDhbH9Cz0tuDiY8C3ctxq1tqvaCgkFb8cCA/edit?usp=sharing"",""ร้อยเอ็ด!J265"")"),85)</f>
        <v>85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IFERROR(__xludf.DUMMYFUNCTION("IMPORTRANGE(""https://docs.google.com/spreadsheets/d/1XL5vhW3sbDhbH9Cz0tuDiY8C3ctxq1tqvaCgkFb8cCA/edit?usp=sharing"",""ร้อยเอ็ด!I164"")"),0)</f>
        <v>0</v>
      </c>
      <c r="J371" s="189">
        <f ca="1">IFERROR(__xludf.DUMMYFUNCTION("IMPORTRANGE(""https://docs.google.com/spreadsheets/d/1XL5vhW3sbDhbH9Cz0tuDiY8C3ctxq1tqvaCgkFb8cCA/edit?usp=sharing"",""ร้อยเอ็ด!J164"")"),0)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293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IFERROR(__xludf.DUMMYFUNCTION("IMPORTRANGE(""https://docs.google.com/spreadsheets/d/1XL5vhW3sbDhbH9Cz0tuDiY8C3ctxq1tqvaCgkFb8cCA/edit?usp=sharing"",""ร้อยเอ็ด!I267"")"),85)</f>
        <v>85</v>
      </c>
      <c r="J372" s="189">
        <f ca="1">IFERROR(__xludf.DUMMYFUNCTION("IMPORTRANGE(""https://docs.google.com/spreadsheets/d/1XL5vhW3sbDhbH9Cz0tuDiY8C3ctxq1tqvaCgkFb8cCA/edit?usp=sharing"",""ร้อยเอ็ด!J267"")"),85)</f>
        <v>85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IFERROR(__xludf.DUMMYFUNCTION("IMPORTRANGE(""https://docs.google.com/spreadsheets/d/1XL5vhW3sbDhbH9Cz0tuDiY8C3ctxq1tqvaCgkFb8cCA/edit?usp=sharing"",""ร้อยเอ็ด!I164"")"),0)</f>
        <v>0</v>
      </c>
      <c r="J373" s="204">
        <f ca="1">IFERROR(__xludf.DUMMYFUNCTION("IMPORTRANGE(""https://docs.google.com/spreadsheets/d/1XL5vhW3sbDhbH9Cz0tuDiY8C3ctxq1tqvaCgkFb8cCA/edit?usp=sharing"",""ร้อยเอ็ด!J164"")"),0)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IFERROR(__xludf.DUMMYFUNCTION("IMPORTRANGE(""https://docs.google.com/spreadsheets/d/1XL5vhW3sbDhbH9Cz0tuDiY8C3ctxq1tqvaCgkFb8cCA/edit?usp=sharing"",""ร้อยเอ็ด!I164"")"),0)</f>
        <v>0</v>
      </c>
      <c r="J374" s="188">
        <f ca="1">IFERROR(__xludf.DUMMYFUNCTION("IMPORTRANGE(""https://docs.google.com/spreadsheets/d/1XL5vhW3sbDhbH9Cz0tuDiY8C3ctxq1tqvaCgkFb8cCA/edit?usp=sharing"",""ร้อยเอ็ด!J164"")"),0)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IFERROR(__xludf.DUMMYFUNCTION("IMPORTRANGE(""https://docs.google.com/spreadsheets/d/1XL5vhW3sbDhbH9Cz0tuDiY8C3ctxq1tqvaCgkFb8cCA/edit?usp=sharing"",""ร้อยเอ็ด!I270"")"),403)</f>
        <v>403</v>
      </c>
      <c r="J375" s="188">
        <f ca="1">IFERROR(__xludf.DUMMYFUNCTION("IMPORTRANGE(""https://docs.google.com/spreadsheets/d/1XL5vhW3sbDhbH9Cz0tuDiY8C3ctxq1tqvaCgkFb8cCA/edit?usp=sharing"",""ร้อยเอ็ด!J270"")"),403)</f>
        <v>403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IFERROR(__xludf.DUMMYFUNCTION("IMPORTRANGE(""https://docs.google.com/spreadsheets/d/1XL5vhW3sbDhbH9Cz0tuDiY8C3ctxq1tqvaCgkFb8cCA/edit?usp=sharing"",""ร้อยเอ็ด!I271"")"),180)</f>
        <v>180</v>
      </c>
      <c r="J376" s="189">
        <f ca="1">IFERROR(__xludf.DUMMYFUNCTION("IMPORTRANGE(""https://docs.google.com/spreadsheets/d/1XL5vhW3sbDhbH9Cz0tuDiY8C3ctxq1tqvaCgkFb8cCA/edit?usp=sharing"",""ร้อยเอ็ด!J271"")"),180)</f>
        <v>180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IFERROR(__xludf.DUMMYFUNCTION("IMPORTRANGE(""https://docs.google.com/spreadsheets/d/1XL5vhW3sbDhbH9Cz0tuDiY8C3ctxq1tqvaCgkFb8cCA/edit?usp=sharing"",""ร้อยเอ็ด!I272"")"),223)</f>
        <v>223</v>
      </c>
      <c r="J377" s="204">
        <f ca="1">IFERROR(__xludf.DUMMYFUNCTION("IMPORTRANGE(""https://docs.google.com/spreadsheets/d/1XL5vhW3sbDhbH9Cz0tuDiY8C3ctxq1tqvaCgkFb8cCA/edit?usp=sharing"",""ร้อยเอ็ด!J272"")"),223)</f>
        <v>223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IFERROR(__xludf.DUMMYFUNCTION("IMPORTRANGE(""https://docs.google.com/spreadsheets/d/1XL5vhW3sbDhbH9Cz0tuDiY8C3ctxq1tqvaCgkFb8cCA/edit?usp=sharing"",""ร้อยเอ็ด!J273"")"),1)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IFERROR(__xludf.DUMMYFUNCTION("IMPORTRANGE(""https://docs.google.com/spreadsheets/d/1XL5vhW3sbDhbH9Cz0tuDiY8C3ctxq1tqvaCgkFb8cCA/edit?usp=sharing"",""ร้อยเอ็ด!J274"")"),1)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IFERROR(__xludf.DUMMYFUNCTION("IMPORTRANGE(""https://docs.google.com/spreadsheets/d/1XL5vhW3sbDhbH9Cz0tuDiY8C3ctxq1tqvaCgkFb8cCA/edit?usp=sharing"",""ร้อยเอ็ด!I275"")"),1000)</f>
        <v>1000</v>
      </c>
      <c r="J380" s="371">
        <f ca="1">IFERROR(__xludf.DUMMYFUNCTION("IMPORTRANGE(""https://docs.google.com/spreadsheets/d/1XL5vhW3sbDhbH9Cz0tuDiY8C3ctxq1tqvaCgkFb8cCA/edit?usp=sharing"",""ร้อยเอ็ด!J275"")"),0)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IFERROR(__xludf.DUMMYFUNCTION("IMPORTRANGE(""https://docs.google.com/spreadsheets/d/1XL5vhW3sbDhbH9Cz0tuDiY8C3ctxq1tqvaCgkFb8cCA/edit?usp=sharing"",""ร้อยเอ็ด!L275"")"),1028520)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IFERROR(__xludf.DUMMYFUNCTION("IMPORTRANGE(""https://docs.google.com/spreadsheets/d/1XL5vhW3sbDhbH9Cz0tuDiY8C3ctxq1tqvaCgkFb8cCA/edit?usp=sharing"",""ร้อยเอ็ด!M275"")"),297339.339999999)</f>
        <v>297339.33999999898</v>
      </c>
      <c r="O380" s="373">
        <f ca="1">+IF(L380&gt;0,N380*100/L380,0)</f>
        <v>28.909436860731827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IFERROR(__xludf.DUMMYFUNCTION("IMPORTRANGE(""https://docs.google.com/spreadsheets/d/1XL5vhW3sbDhbH9Cz0tuDiY8C3ctxq1tqvaCgkFb8cCA/edit?usp=sharing"",""ร้อยเอ็ด!I276"")"),100)</f>
        <v>100</v>
      </c>
      <c r="J381" s="371">
        <f ca="1">IFERROR(__xludf.DUMMYFUNCTION("IMPORTRANGE(""https://docs.google.com/spreadsheets/d/1XL5vhW3sbDhbH9Cz0tuDiY8C3ctxq1tqvaCgkFb8cCA/edit?usp=sharing"",""ร้อยเอ็ด!J276"")"),100)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IFERROR(__xludf.DUMMYFUNCTION("IMPORTRANGE(""https://docs.google.com/spreadsheets/d/1XL5vhW3sbDhbH9Cz0tuDiY8C3ctxq1tqvaCgkFb8cCA/edit?usp=sharing"",""ร้อยเอ็ด!L277"")"),0)</f>
        <v>0</v>
      </c>
      <c r="M382" s="164"/>
      <c r="N382" s="164">
        <f ca="1">IFERROR(__xludf.DUMMYFUNCTION("IMPORTRANGE(""https://docs.google.com/spreadsheets/d/1XL5vhW3sbDhbH9Cz0tuDiY8C3ctxq1tqvaCgkFb8cCA/edit?usp=sharing"",""ร้อยเอ็ด!M277"")"),0)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IFERROR(__xludf.DUMMYFUNCTION("IMPORTRANGE(""https://docs.google.com/spreadsheets/d/1XL5vhW3sbDhbH9Cz0tuDiY8C3ctxq1tqvaCgkFb8cCA/edit?usp=sharing"",""ร้อยเอ็ด!L278"")"),1028520)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IFERROR(__xludf.DUMMYFUNCTION("IMPORTRANGE(""https://docs.google.com/spreadsheets/d/1XL5vhW3sbDhbH9Cz0tuDiY8C3ctxq1tqvaCgkFb8cCA/edit?usp=sharing"",""ร้อยเอ็ด!M278"")"),297339.339999999)</f>
        <v>297339.33999999898</v>
      </c>
      <c r="O383" s="165">
        <f t="shared" ca="1" si="109"/>
        <v>28.909436860731827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IFERROR(__xludf.DUMMYFUNCTION("IMPORTRANGE(""https://docs.google.com/spreadsheets/d/1XL5vhW3sbDhbH9Cz0tuDiY8C3ctxq1tqvaCgkFb8cCA/edit?usp=sharing"",""ร้อยเอ็ด!L279"")"),0)</f>
        <v>0</v>
      </c>
      <c r="M384" s="169"/>
      <c r="N384" s="169">
        <f ca="1">IFERROR(__xludf.DUMMYFUNCTION("IMPORTRANGE(""https://docs.google.com/spreadsheets/d/1XL5vhW3sbDhbH9Cz0tuDiY8C3ctxq1tqvaCgkFb8cCA/edit?usp=sharing"",""ร้อยเอ็ด!M279"")"),0)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IFERROR(__xludf.DUMMYFUNCTION("IMPORTRANGE(""https://docs.google.com/spreadsheets/d/1XL5vhW3sbDhbH9Cz0tuDiY8C3ctxq1tqvaCgkFb8cCA/edit?usp=sharing"",""ร้อยเอ็ด!L280"")"),1028520)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IFERROR(__xludf.DUMMYFUNCTION("IMPORTRANGE(""https://docs.google.com/spreadsheets/d/1XL5vhW3sbDhbH9Cz0tuDiY8C3ctxq1tqvaCgkFb8cCA/edit?usp=sharing"",""ร้อยเอ็ด!M280"")"),297339.339999999)</f>
        <v>297339.33999999898</v>
      </c>
      <c r="O385" s="169">
        <f t="shared" ca="1" si="109"/>
        <v>28.909436860731827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IFERROR(__xludf.DUMMYFUNCTION("IMPORTRANGE(""https://docs.google.com/spreadsheets/d/1XL5vhW3sbDhbH9Cz0tuDiY8C3ctxq1tqvaCgkFb8cCA/edit?usp=sharing"",""ร้อยเอ็ด!M281"")"),198000)</f>
        <v>198000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IFERROR(__xludf.DUMMYFUNCTION("IMPORTRANGE(""https://docs.google.com/spreadsheets/d/1XL5vhW3sbDhbH9Cz0tuDiY8C3ctxq1tqvaCgkFb8cCA/edit?usp=sharing"",""ร้อยเอ็ด!M282"")"),0)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IFERROR(__xludf.DUMMYFUNCTION("IMPORTRANGE(""https://docs.google.com/spreadsheets/d/1XL5vhW3sbDhbH9Cz0tuDiY8C3ctxq1tqvaCgkFb8cCA/edit?usp=sharing"",""ร้อยเอ็ด!M283"")"),57572.34)</f>
        <v>57572.34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IFERROR(__xludf.DUMMYFUNCTION("IMPORTRANGE(""https://docs.google.com/spreadsheets/d/1XL5vhW3sbDhbH9Cz0tuDiY8C3ctxq1tqvaCgkFb8cCA/edit?usp=sharing"",""ร้อยเอ็ด!M284"")"),41767)</f>
        <v>41767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IFERROR(__xludf.DUMMYFUNCTION("IMPORTRANGE(""https://docs.google.com/spreadsheets/d/1XL5vhW3sbDhbH9Cz0tuDiY8C3ctxq1tqvaCgkFb8cCA/edit?usp=sharing"",""ร้อยเอ็ด!J286"")"),0)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IFERROR(__xludf.DUMMYFUNCTION("IMPORTRANGE(""https://docs.google.com/spreadsheets/d/1XL5vhW3sbDhbH9Cz0tuDiY8C3ctxq1tqvaCgkFb8cCA/edit?usp=sharing"",""ร้อยเอ็ด!J287"")"),1)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IFERROR(__xludf.DUMMYFUNCTION("IMPORTRANGE(""https://docs.google.com/spreadsheets/d/1XL5vhW3sbDhbH9Cz0tuDiY8C3ctxq1tqvaCgkFb8cCA/edit?usp=sharing"",""ร้อยเอ็ด!J288"")"),1)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IFERROR(__xludf.DUMMYFUNCTION("IMPORTRANGE(""https://docs.google.com/spreadsheets/d/1XL5vhW3sbDhbH9Cz0tuDiY8C3ctxq1tqvaCgkFb8cCA/edit?usp=sharing"",""ร้อยเอ็ด!J289"")"),1)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IFERROR(__xludf.DUMMYFUNCTION("IMPORTRANGE(""https://docs.google.com/spreadsheets/d/1XL5vhW3sbDhbH9Cz0tuDiY8C3ctxq1tqvaCgkFb8cCA/edit?usp=sharing"",""ร้อยเอ็ด!I291"")"),100)</f>
        <v>100</v>
      </c>
      <c r="J396" s="198">
        <f ca="1">IFERROR(__xludf.DUMMYFUNCTION("IMPORTRANGE(""https://docs.google.com/spreadsheets/d/1XL5vhW3sbDhbH9Cz0tuDiY8C3ctxq1tqvaCgkFb8cCA/edit?usp=sharing"",""ร้อยเอ็ด!J291"")"),100)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IFERROR(__xludf.DUMMYFUNCTION("IMPORTRANGE(""https://docs.google.com/spreadsheets/d/1XL5vhW3sbDhbH9Cz0tuDiY8C3ctxq1tqvaCgkFb8cCA/edit?usp=sharing"",""ร้อยเอ็ด!I292"")"),1000)</f>
        <v>1000</v>
      </c>
      <c r="J397" s="198">
        <f ca="1">IFERROR(__xludf.DUMMYFUNCTION("IMPORTRANGE(""https://docs.google.com/spreadsheets/d/1XL5vhW3sbDhbH9Cz0tuDiY8C3ctxq1tqvaCgkFb8cCA/edit?usp=sharing"",""ร้อยเอ็ด!J292"")"),0)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IFERROR(__xludf.DUMMYFUNCTION("IMPORTRANGE(""https://docs.google.com/spreadsheets/d/1XL5vhW3sbDhbH9Cz0tuDiY8C3ctxq1tqvaCgkFb8cCA/edit?usp=sharing"",""ร้อยเอ็ด!I293"")"),100)</f>
        <v>100</v>
      </c>
      <c r="J398" s="198">
        <f ca="1">IFERROR(__xludf.DUMMYFUNCTION("IMPORTRANGE(""https://docs.google.com/spreadsheets/d/1XL5vhW3sbDhbH9Cz0tuDiY8C3ctxq1tqvaCgkFb8cCA/edit?usp=sharing"",""ร้อยเอ็ด!J293"")"),0)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IFERROR(__xludf.DUMMYFUNCTION("IMPORTRANGE(""https://docs.google.com/spreadsheets/d/1XL5vhW3sbDhbH9Cz0tuDiY8C3ctxq1tqvaCgkFb8cCA/edit?usp=sharing"",""ร้อยเอ็ด!J294"")"),0)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IFERROR(__xludf.DUMMYFUNCTION("IMPORTRANGE(""https://docs.google.com/spreadsheets/d/1XL5vhW3sbDhbH9Cz0tuDiY8C3ctxq1tqvaCgkFb8cCA/edit?usp=sharing"",""ร้อยเอ็ด!J295"")"),0)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IFERROR(__xludf.DUMMYFUNCTION("IMPORTRANGE(""https://docs.google.com/spreadsheets/d/1XL5vhW3sbDhbH9Cz0tuDiY8C3ctxq1tqvaCgkFb8cCA/edit?usp=sharing"",""ร้อยเอ็ด!I296"")"),150)</f>
        <v>150</v>
      </c>
      <c r="J401" s="371">
        <f ca="1">IFERROR(__xludf.DUMMYFUNCTION("IMPORTRANGE(""https://docs.google.com/spreadsheets/d/1XL5vhW3sbDhbH9Cz0tuDiY8C3ctxq1tqvaCgkFb8cCA/edit?usp=sharing"",""ร้อยเอ็ด!J296"")"),150)</f>
        <v>150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IFERROR(__xludf.DUMMYFUNCTION("IMPORTRANGE(""https://docs.google.com/spreadsheets/d/1XL5vhW3sbDhbH9Cz0tuDiY8C3ctxq1tqvaCgkFb8cCA/edit?usp=sharing"",""ร้อยเอ็ด!L296"")"),175650)</f>
        <v>175650</v>
      </c>
      <c r="M401" s="373"/>
      <c r="N401" s="373">
        <f ca="1">IFERROR(__xludf.DUMMYFUNCTION("IMPORTRANGE(""https://docs.google.com/spreadsheets/d/1XL5vhW3sbDhbH9Cz0tuDiY8C3ctxq1tqvaCgkFb8cCA/edit?usp=sharing"",""ร้อยเอ็ด!M296"")"),132529)</f>
        <v>132529</v>
      </c>
      <c r="O401" s="373">
        <f ca="1">+IF(L401&gt;0,N401*100/L401,0)</f>
        <v>75.450612012524914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IFERROR(__xludf.DUMMYFUNCTION("IMPORTRANGE(""https://docs.google.com/spreadsheets/d/1XL5vhW3sbDhbH9Cz0tuDiY8C3ctxq1tqvaCgkFb8cCA/edit?usp=sharing"",""ร้อยเอ็ด!I297"")"),50)</f>
        <v>50</v>
      </c>
      <c r="J402" s="371">
        <f ca="1">IFERROR(__xludf.DUMMYFUNCTION("IMPORTRANGE(""https://docs.google.com/spreadsheets/d/1XL5vhW3sbDhbH9Cz0tuDiY8C3ctxq1tqvaCgkFb8cCA/edit?usp=sharing"",""ร้อยเอ็ด!J297"")"),50)</f>
        <v>50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IFERROR(__xludf.DUMMYFUNCTION("IMPORTRANGE(""https://docs.google.com/spreadsheets/d/1XL5vhW3sbDhbH9Cz0tuDiY8C3ctxq1tqvaCgkFb8cCA/edit?usp=sharing"",""ร้อยเอ็ด!L298"")"),0)</f>
        <v>0</v>
      </c>
      <c r="M403" s="164"/>
      <c r="N403" s="169">
        <f ca="1">IFERROR(__xludf.DUMMYFUNCTION("IMPORTRANGE(""https://docs.google.com/spreadsheets/d/1XL5vhW3sbDhbH9Cz0tuDiY8C3ctxq1tqvaCgkFb8cCA/edit?usp=sharing"",""ร้อยเอ็ด!M298"")"),0)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IFERROR(__xludf.DUMMYFUNCTION("IMPORTRANGE(""https://docs.google.com/spreadsheets/d/1XL5vhW3sbDhbH9Cz0tuDiY8C3ctxq1tqvaCgkFb8cCA/edit?usp=sharing"",""ร้อยเอ็ด!L299"")"),175650)</f>
        <v>175650</v>
      </c>
      <c r="M404" s="165"/>
      <c r="N404" s="169">
        <f ca="1">IFERROR(__xludf.DUMMYFUNCTION("IMPORTRANGE(""https://docs.google.com/spreadsheets/d/1XL5vhW3sbDhbH9Cz0tuDiY8C3ctxq1tqvaCgkFb8cCA/edit?usp=sharing"",""ร้อยเอ็ด!M299"")"),132529)</f>
        <v>132529</v>
      </c>
      <c r="O404" s="169">
        <f t="shared" ca="1" si="112"/>
        <v>75.450612012524914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IFERROR(__xludf.DUMMYFUNCTION("IMPORTRANGE(""https://docs.google.com/spreadsheets/d/1XL5vhW3sbDhbH9Cz0tuDiY8C3ctxq1tqvaCgkFb8cCA/edit?usp=sharing"",""ร้อยเอ็ด!L300"")"),0)</f>
        <v>0</v>
      </c>
      <c r="M405" s="169"/>
      <c r="N405" s="169">
        <f ca="1">IFERROR(__xludf.DUMMYFUNCTION("IMPORTRANGE(""https://docs.google.com/spreadsheets/d/1XL5vhW3sbDhbH9Cz0tuDiY8C3ctxq1tqvaCgkFb8cCA/edit?usp=sharing"",""ร้อยเอ็ด!M300"")"),0)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IFERROR(__xludf.DUMMYFUNCTION("IMPORTRANGE(""https://docs.google.com/spreadsheets/d/1XL5vhW3sbDhbH9Cz0tuDiY8C3ctxq1tqvaCgkFb8cCA/edit?usp=sharing"",""ร้อยเอ็ด!L301"")"),175650)</f>
        <v>175650</v>
      </c>
      <c r="M406" s="169"/>
      <c r="N406" s="169">
        <f ca="1">IFERROR(__xludf.DUMMYFUNCTION("IMPORTRANGE(""https://docs.google.com/spreadsheets/d/1XL5vhW3sbDhbH9Cz0tuDiY8C3ctxq1tqvaCgkFb8cCA/edit?usp=sharing"",""ร้อยเอ็ด!M301"")"),132529)</f>
        <v>132529</v>
      </c>
      <c r="O406" s="169">
        <f t="shared" ca="1" si="112"/>
        <v>75.450612012524914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IFERROR(__xludf.DUMMYFUNCTION("IMPORTRANGE(""https://docs.google.com/spreadsheets/d/1XL5vhW3sbDhbH9Cz0tuDiY8C3ctxq1tqvaCgkFb8cCA/edit?usp=sharing"",""ร้อยเอ็ด!M302"")"),104629)</f>
        <v>104629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IFERROR(__xludf.DUMMYFUNCTION("IMPORTRANGE(""https://docs.google.com/spreadsheets/d/1XL5vhW3sbDhbH9Cz0tuDiY8C3ctxq1tqvaCgkFb8cCA/edit?usp=sharing"",""ร้อยเอ็ด!M303"")"),0)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IFERROR(__xludf.DUMMYFUNCTION("IMPORTRANGE(""https://docs.google.com/spreadsheets/d/1XL5vhW3sbDhbH9Cz0tuDiY8C3ctxq1tqvaCgkFb8cCA/edit?usp=sharing"",""ร้อยเอ็ด!M304"")"),0)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IFERROR(__xludf.DUMMYFUNCTION("IMPORTRANGE(""https://docs.google.com/spreadsheets/d/1XL5vhW3sbDhbH9Cz0tuDiY8C3ctxq1tqvaCgkFb8cCA/edit?usp=sharing"",""ร้อยเอ็ด!M305"")"),27900)</f>
        <v>27900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IFERROR(__xludf.DUMMYFUNCTION("IMPORTRANGE(""https://docs.google.com/spreadsheets/d/1XL5vhW3sbDhbH9Cz0tuDiY8C3ctxq1tqvaCgkFb8cCA/edit?usp=sharing"",""ร้อยเอ็ด!J307"")"),0)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IFERROR(__xludf.DUMMYFUNCTION("IMPORTRANGE(""https://docs.google.com/spreadsheets/d/1XL5vhW3sbDhbH9Cz0tuDiY8C3ctxq1tqvaCgkFb8cCA/edit?usp=sharing"",""ร้อยเอ็ด!J308"")"),1)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IFERROR(__xludf.DUMMYFUNCTION("IMPORTRANGE(""https://docs.google.com/spreadsheets/d/1XL5vhW3sbDhbH9Cz0tuDiY8C3ctxq1tqvaCgkFb8cCA/edit?usp=sharing"",""ร้อยเอ็ด!J309"")"),1)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IFERROR(__xludf.DUMMYFUNCTION("IMPORTRANGE(""https://docs.google.com/spreadsheets/d/1XL5vhW3sbDhbH9Cz0tuDiY8C3ctxq1tqvaCgkFb8cCA/edit?usp=sharing"",""ร้อยเอ็ด!J310"")"),1)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IFERROR(__xludf.DUMMYFUNCTION("IMPORTRANGE(""https://docs.google.com/spreadsheets/d/1XL5vhW3sbDhbH9Cz0tuDiY8C3ctxq1tqvaCgkFb8cCA/edit?usp=sharing"",""ร้อยเอ็ด!I311"")"),50)</f>
        <v>50</v>
      </c>
      <c r="J416" s="201">
        <f ca="1">IFERROR(__xludf.DUMMYFUNCTION("IMPORTRANGE(""https://docs.google.com/spreadsheets/d/1XL5vhW3sbDhbH9Cz0tuDiY8C3ctxq1tqvaCgkFb8cCA/edit?usp=sharing"",""ร้อยเอ็ด!J311"")"),50)</f>
        <v>50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IFERROR(__xludf.DUMMYFUNCTION("IMPORTRANGE(""https://docs.google.com/spreadsheets/d/1XL5vhW3sbDhbH9Cz0tuDiY8C3ctxq1tqvaCgkFb8cCA/edit?usp=sharing"",""ร้อยเอ็ด!I312"")"),15)</f>
        <v>15</v>
      </c>
      <c r="J417" s="392">
        <f ca="1">IFERROR(__xludf.DUMMYFUNCTION("IMPORTRANGE(""https://docs.google.com/spreadsheets/d/1XL5vhW3sbDhbH9Cz0tuDiY8C3ctxq1tqvaCgkFb8cCA/edit?usp=sharing"",""ร้อยเอ็ด!J312"")"),15)</f>
        <v>15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IFERROR(__xludf.DUMMYFUNCTION("IMPORTRANGE(""https://docs.google.com/spreadsheets/d/1XL5vhW3sbDhbH9Cz0tuDiY8C3ctxq1tqvaCgkFb8cCA/edit?usp=sharing"",""ร้อยเอ็ด!I313"")"),45)</f>
        <v>45</v>
      </c>
      <c r="J418" s="393">
        <f ca="1">IFERROR(__xludf.DUMMYFUNCTION("IMPORTRANGE(""https://docs.google.com/spreadsheets/d/1XL5vhW3sbDhbH9Cz0tuDiY8C3ctxq1tqvaCgkFb8cCA/edit?usp=sharing"",""ร้อยเอ็ด!J313"")"),45)</f>
        <v>45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IFERROR(__xludf.DUMMYFUNCTION("IMPORTRANGE(""https://docs.google.com/spreadsheets/d/1XL5vhW3sbDhbH9Cz0tuDiY8C3ctxq1tqvaCgkFb8cCA/edit?usp=sharing"",""ร้อยเอ็ด!I314"")"),15)</f>
        <v>15</v>
      </c>
      <c r="J419" s="394">
        <f ca="1">IFERROR(__xludf.DUMMYFUNCTION("IMPORTRANGE(""https://docs.google.com/spreadsheets/d/1XL5vhW3sbDhbH9Cz0tuDiY8C3ctxq1tqvaCgkFb8cCA/edit?usp=sharing"",""ร้อยเอ็ด!J314"")"),15)</f>
        <v>15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IFERROR(__xludf.DUMMYFUNCTION("IMPORTRANGE(""https://docs.google.com/spreadsheets/d/1XL5vhW3sbDhbH9Cz0tuDiY8C3ctxq1tqvaCgkFb8cCA/edit?usp=sharing"",""ร้อยเอ็ด!I315"")"),15)</f>
        <v>15</v>
      </c>
      <c r="J420" s="394">
        <f ca="1">IFERROR(__xludf.DUMMYFUNCTION("IMPORTRANGE(""https://docs.google.com/spreadsheets/d/1XL5vhW3sbDhbH9Cz0tuDiY8C3ctxq1tqvaCgkFb8cCA/edit?usp=sharing"",""ร้อยเอ็ด!J315"")"),15)</f>
        <v>15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IFERROR(__xludf.DUMMYFUNCTION("IMPORTRANGE(""https://docs.google.com/spreadsheets/d/1XL5vhW3sbDhbH9Cz0tuDiY8C3ctxq1tqvaCgkFb8cCA/edit?usp=sharing"",""ร้อยเอ็ด!I316"")"),25)</f>
        <v>25</v>
      </c>
      <c r="J421" s="392">
        <f ca="1">IFERROR(__xludf.DUMMYFUNCTION("IMPORTRANGE(""https://docs.google.com/spreadsheets/d/1XL5vhW3sbDhbH9Cz0tuDiY8C3ctxq1tqvaCgkFb8cCA/edit?usp=sharing"",""ร้อยเอ็ด!J316"")"),25)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IFERROR(__xludf.DUMMYFUNCTION("IMPORTRANGE(""https://docs.google.com/spreadsheets/d/1XL5vhW3sbDhbH9Cz0tuDiY8C3ctxq1tqvaCgkFb8cCA/edit?usp=sharing"",""ร้อยเอ็ด!I317"")"),75)</f>
        <v>75</v>
      </c>
      <c r="J422" s="393">
        <f ca="1">IFERROR(__xludf.DUMMYFUNCTION("IMPORTRANGE(""https://docs.google.com/spreadsheets/d/1XL5vhW3sbDhbH9Cz0tuDiY8C3ctxq1tqvaCgkFb8cCA/edit?usp=sharing"",""ร้อยเอ็ด!J317"")"),75)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IFERROR(__xludf.DUMMYFUNCTION("IMPORTRANGE(""https://docs.google.com/spreadsheets/d/1XL5vhW3sbDhbH9Cz0tuDiY8C3ctxq1tqvaCgkFb8cCA/edit?usp=sharing"",""ร้อยเอ็ด!I318"")"),25)</f>
        <v>25</v>
      </c>
      <c r="J423" s="394">
        <f ca="1">IFERROR(__xludf.DUMMYFUNCTION("IMPORTRANGE(""https://docs.google.com/spreadsheets/d/1XL5vhW3sbDhbH9Cz0tuDiY8C3ctxq1tqvaCgkFb8cCA/edit?usp=sharing"",""ร้อยเอ็ด!J318"")"),25)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IFERROR(__xludf.DUMMYFUNCTION("IMPORTRANGE(""https://docs.google.com/spreadsheets/d/1XL5vhW3sbDhbH9Cz0tuDiY8C3ctxq1tqvaCgkFb8cCA/edit?usp=sharing"",""ร้อยเอ็ด!I319"")"),25)</f>
        <v>25</v>
      </c>
      <c r="J424" s="394">
        <f ca="1">IFERROR(__xludf.DUMMYFUNCTION("IMPORTRANGE(""https://docs.google.com/spreadsheets/d/1XL5vhW3sbDhbH9Cz0tuDiY8C3ctxq1tqvaCgkFb8cCA/edit?usp=sharing"",""ร้อยเอ็ด!J319"")"),25)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IFERROR(__xludf.DUMMYFUNCTION("IMPORTRANGE(""https://docs.google.com/spreadsheets/d/1XL5vhW3sbDhbH9Cz0tuDiY8C3ctxq1tqvaCgkFb8cCA/edit?usp=sharing"",""ร้อยเอ็ด!I320"")"),25)</f>
        <v>25</v>
      </c>
      <c r="J425" s="394">
        <f ca="1">IFERROR(__xludf.DUMMYFUNCTION("IMPORTRANGE(""https://docs.google.com/spreadsheets/d/1XL5vhW3sbDhbH9Cz0tuDiY8C3ctxq1tqvaCgkFb8cCA/edit?usp=sharing"",""ร้อยเอ็ด!J320"")"),25)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IFERROR(__xludf.DUMMYFUNCTION("IMPORTRANGE(""https://docs.google.com/spreadsheets/d/1XL5vhW3sbDhbH9Cz0tuDiY8C3ctxq1tqvaCgkFb8cCA/edit?usp=sharing"",""ร้อยเอ็ด!I321"")"),10)</f>
        <v>10</v>
      </c>
      <c r="J426" s="392">
        <f ca="1">IFERROR(__xludf.DUMMYFUNCTION("IMPORTRANGE(""https://docs.google.com/spreadsheets/d/1XL5vhW3sbDhbH9Cz0tuDiY8C3ctxq1tqvaCgkFb8cCA/edit?usp=sharing"",""ร้อยเอ็ด!J321"")"),10)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IFERROR(__xludf.DUMMYFUNCTION("IMPORTRANGE(""https://docs.google.com/spreadsheets/d/1XL5vhW3sbDhbH9Cz0tuDiY8C3ctxq1tqvaCgkFb8cCA/edit?usp=sharing"",""ร้อยเอ็ด!I322"")"),30)</f>
        <v>30</v>
      </c>
      <c r="J427" s="393">
        <f ca="1">IFERROR(__xludf.DUMMYFUNCTION("IMPORTRANGE(""https://docs.google.com/spreadsheets/d/1XL5vhW3sbDhbH9Cz0tuDiY8C3ctxq1tqvaCgkFb8cCA/edit?usp=sharing"",""ร้อยเอ็ด!J322"")"),30)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IFERROR(__xludf.DUMMYFUNCTION("IMPORTRANGE(""https://docs.google.com/spreadsheets/d/1XL5vhW3sbDhbH9Cz0tuDiY8C3ctxq1tqvaCgkFb8cCA/edit?usp=sharing"",""ร้อยเอ็ด!I323"")"),10)</f>
        <v>10</v>
      </c>
      <c r="J428" s="394">
        <f ca="1">IFERROR(__xludf.DUMMYFUNCTION("IMPORTRANGE(""https://docs.google.com/spreadsheets/d/1XL5vhW3sbDhbH9Cz0tuDiY8C3ctxq1tqvaCgkFb8cCA/edit?usp=sharing"",""ร้อยเอ็ด!J323"")"),10)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IFERROR(__xludf.DUMMYFUNCTION("IMPORTRANGE(""https://docs.google.com/spreadsheets/d/1XL5vhW3sbDhbH9Cz0tuDiY8C3ctxq1tqvaCgkFb8cCA/edit?usp=sharing"",""ร้อยเอ็ด!I324"")"),10)</f>
        <v>10</v>
      </c>
      <c r="J429" s="394">
        <f ca="1">IFERROR(__xludf.DUMMYFUNCTION("IMPORTRANGE(""https://docs.google.com/spreadsheets/d/1XL5vhW3sbDhbH9Cz0tuDiY8C3ctxq1tqvaCgkFb8cCA/edit?usp=sharing"",""ร้อยเอ็ด!J324"")"),10)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IFERROR(__xludf.DUMMYFUNCTION("IMPORTRANGE(""https://docs.google.com/spreadsheets/d/1XL5vhW3sbDhbH9Cz0tuDiY8C3ctxq1tqvaCgkFb8cCA/edit?usp=sharing"",""ร้อยเอ็ด!I325"")"),40)</f>
        <v>40</v>
      </c>
      <c r="J430" s="392">
        <f ca="1">IFERROR(__xludf.DUMMYFUNCTION("IMPORTRANGE(""https://docs.google.com/spreadsheets/d/1XL5vhW3sbDhbH9Cz0tuDiY8C3ctxq1tqvaCgkFb8cCA/edit?usp=sharing"",""ร้อยเอ็ด!J325"")"),0)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IFERROR(__xludf.DUMMYFUNCTION("IMPORTRANGE(""https://docs.google.com/spreadsheets/d/1XL5vhW3sbDhbH9Cz0tuDiY8C3ctxq1tqvaCgkFb8cCA/edit?usp=sharing"",""ร้อยเอ็ด!I326"")"),15)</f>
        <v>15</v>
      </c>
      <c r="J431" s="394">
        <f ca="1">IFERROR(__xludf.DUMMYFUNCTION("IMPORTRANGE(""https://docs.google.com/spreadsheets/d/1XL5vhW3sbDhbH9Cz0tuDiY8C3ctxq1tqvaCgkFb8cCA/edit?usp=sharing"",""ร้อยเอ็ด!J326"")"),0)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IFERROR(__xludf.DUMMYFUNCTION("IMPORTRANGE(""https://docs.google.com/spreadsheets/d/1XL5vhW3sbDhbH9Cz0tuDiY8C3ctxq1tqvaCgkFb8cCA/edit?usp=sharing"",""ร้อยเอ็ด!I327"")"),25)</f>
        <v>25</v>
      </c>
      <c r="J432" s="394">
        <f ca="1">IFERROR(__xludf.DUMMYFUNCTION("IMPORTRANGE(""https://docs.google.com/spreadsheets/d/1XL5vhW3sbDhbH9Cz0tuDiY8C3ctxq1tqvaCgkFb8cCA/edit?usp=sharing"",""ร้อยเอ็ด!J327"")"),0)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IFERROR(__xludf.DUMMYFUNCTION("IMPORTRANGE(""https://docs.google.com/spreadsheets/d/1XL5vhW3sbDhbH9Cz0tuDiY8C3ctxq1tqvaCgkFb8cCA/edit?usp=sharing"",""ร้อยเอ็ด!J328"")"),1)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IFERROR(__xludf.DUMMYFUNCTION("IMPORTRANGE(""https://docs.google.com/spreadsheets/d/1XL5vhW3sbDhbH9Cz0tuDiY8C3ctxq1tqvaCgkFb8cCA/edit?usp=sharing"",""ร้อยเอ็ด!J329"")"),0)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IFERROR(__xludf.DUMMYFUNCTION("IMPORTRANGE(""https://docs.google.com/spreadsheets/d/1XL5vhW3sbDhbH9Cz0tuDiY8C3ctxq1tqvaCgkFb8cCA/edit?usp=sharing"",""ร้อยเอ็ด!I330"")"),15)</f>
        <v>15</v>
      </c>
      <c r="J435" s="410">
        <f ca="1">IFERROR(__xludf.DUMMYFUNCTION("IMPORTRANGE(""https://docs.google.com/spreadsheets/d/1XL5vhW3sbDhbH9Cz0tuDiY8C3ctxq1tqvaCgkFb8cCA/edit?usp=sharing"",""ร้อยเอ็ด!J330"")"),15)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IFERROR(__xludf.DUMMYFUNCTION("IMPORTRANGE(""https://docs.google.com/spreadsheets/d/1XL5vhW3sbDhbH9Cz0tuDiY8C3ctxq1tqvaCgkFb8cCA/edit?usp=sharing"",""ร้อยเอ็ด!L330"")"),88000)</f>
        <v>88000</v>
      </c>
      <c r="M435" s="412"/>
      <c r="N435" s="412">
        <f ca="1">IFERROR(__xludf.DUMMYFUNCTION("IMPORTRANGE(""https://docs.google.com/spreadsheets/d/1XL5vhW3sbDhbH9Cz0tuDiY8C3ctxq1tqvaCgkFb8cCA/edit?usp=sharing"",""ร้อยเอ็ด!M330"")"),82825)</f>
        <v>82825</v>
      </c>
      <c r="O435" s="412">
        <f t="shared" ref="O435:O439" ca="1" si="114">+IF(L435&gt;0,N435*100/L435,0)</f>
        <v>94.119318181818187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IFERROR(__xludf.DUMMYFUNCTION("IMPORTRANGE(""https://docs.google.com/spreadsheets/d/1XL5vhW3sbDhbH9Cz0tuDiY8C3ctxq1tqvaCgkFb8cCA/edit?usp=sharing"",""ร้อยเอ็ด!L331"")"),0)</f>
        <v>0</v>
      </c>
      <c r="M436" s="164"/>
      <c r="N436" s="169">
        <f ca="1">IFERROR(__xludf.DUMMYFUNCTION("IMPORTRANGE(""https://docs.google.com/spreadsheets/d/1XL5vhW3sbDhbH9Cz0tuDiY8C3ctxq1tqvaCgkFb8cCA/edit?usp=sharing"",""ร้อยเอ็ด!M331"")"),0)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IFERROR(__xludf.DUMMYFUNCTION("IMPORTRANGE(""https://docs.google.com/spreadsheets/d/1XL5vhW3sbDhbH9Cz0tuDiY8C3ctxq1tqvaCgkFb8cCA/edit?usp=sharing"",""ร้อยเอ็ด!L332"")"),88000)</f>
        <v>88000</v>
      </c>
      <c r="M437" s="165"/>
      <c r="N437" s="169">
        <f ca="1">IFERROR(__xludf.DUMMYFUNCTION("IMPORTRANGE(""https://docs.google.com/spreadsheets/d/1XL5vhW3sbDhbH9Cz0tuDiY8C3ctxq1tqvaCgkFb8cCA/edit?usp=sharing"",""ร้อยเอ็ด!M332"")"),82825)</f>
        <v>82825</v>
      </c>
      <c r="O437" s="169">
        <f t="shared" ca="1" si="114"/>
        <v>94.119318181818187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IFERROR(__xludf.DUMMYFUNCTION("IMPORTRANGE(""https://docs.google.com/spreadsheets/d/1XL5vhW3sbDhbH9Cz0tuDiY8C3ctxq1tqvaCgkFb8cCA/edit?usp=sharing"",""ร้อยเอ็ด!L333"")"),0)</f>
        <v>0</v>
      </c>
      <c r="M438" s="169"/>
      <c r="N438" s="169">
        <f ca="1">IFERROR(__xludf.DUMMYFUNCTION("IMPORTRANGE(""https://docs.google.com/spreadsheets/d/1XL5vhW3sbDhbH9Cz0tuDiY8C3ctxq1tqvaCgkFb8cCA/edit?usp=sharing"",""ร้อยเอ็ด!M333"")"),0)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IFERROR(__xludf.DUMMYFUNCTION("IMPORTRANGE(""https://docs.google.com/spreadsheets/d/1XL5vhW3sbDhbH9Cz0tuDiY8C3ctxq1tqvaCgkFb8cCA/edit?usp=sharing"",""ร้อยเอ็ด!L334"")"),88000)</f>
        <v>88000</v>
      </c>
      <c r="M439" s="169"/>
      <c r="N439" s="169">
        <f ca="1">IFERROR(__xludf.DUMMYFUNCTION("IMPORTRANGE(""https://docs.google.com/spreadsheets/d/1XL5vhW3sbDhbH9Cz0tuDiY8C3ctxq1tqvaCgkFb8cCA/edit?usp=sharing"",""ร้อยเอ็ด!M334"")"),82825)</f>
        <v>82825</v>
      </c>
      <c r="O439" s="169">
        <f t="shared" ca="1" si="114"/>
        <v>94.119318181818187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IFERROR(__xludf.DUMMYFUNCTION("IMPORTRANGE(""https://docs.google.com/spreadsheets/d/1XL5vhW3sbDhbH9Cz0tuDiY8C3ctxq1tqvaCgkFb8cCA/edit?usp=sharing"",""ร้อยเอ็ด!M335"")"),82335)</f>
        <v>82335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IFERROR(__xludf.DUMMYFUNCTION("IMPORTRANGE(""https://docs.google.com/spreadsheets/d/1XL5vhW3sbDhbH9Cz0tuDiY8C3ctxq1tqvaCgkFb8cCA/edit?usp=sharing"",""ร้อยเอ็ด!M336"")"),0)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IFERROR(__xludf.DUMMYFUNCTION("IMPORTRANGE(""https://docs.google.com/spreadsheets/d/1XL5vhW3sbDhbH9Cz0tuDiY8C3ctxq1tqvaCgkFb8cCA/edit?usp=sharing"",""ร้อยเอ็ด!M337"")"),0)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IFERROR(__xludf.DUMMYFUNCTION("IMPORTRANGE(""https://docs.google.com/spreadsheets/d/1XL5vhW3sbDhbH9Cz0tuDiY8C3ctxq1tqvaCgkFb8cCA/edit?usp=sharing"",""ร้อยเอ็ด!M338"")"),490)</f>
        <v>490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IFERROR(__xludf.DUMMYFUNCTION("IMPORTRANGE(""https://docs.google.com/spreadsheets/d/1XL5vhW3sbDhbH9Cz0tuDiY8C3ctxq1tqvaCgkFb8cCA/edit?usp=sharing"",""ร้อยเอ็ด!J340"")"),0)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IFERROR(__xludf.DUMMYFUNCTION("IMPORTRANGE(""https://docs.google.com/spreadsheets/d/1XL5vhW3sbDhbH9Cz0tuDiY8C3ctxq1tqvaCgkFb8cCA/edit?usp=sharing"",""ร้อยเอ็ด!J341"")"),0)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IFERROR(__xludf.DUMMYFUNCTION("IMPORTRANGE(""https://docs.google.com/spreadsheets/d/1XL5vhW3sbDhbH9Cz0tuDiY8C3ctxq1tqvaCgkFb8cCA/edit?usp=sharing"",""ร้อยเอ็ด!J342"")"),1)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IFERROR(__xludf.DUMMYFUNCTION("IMPORTRANGE(""https://docs.google.com/spreadsheets/d/1XL5vhW3sbDhbH9Cz0tuDiY8C3ctxq1tqvaCgkFb8cCA/edit?usp=sharing"",""ร้อยเอ็ด!J343"")"),0)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IFERROR(__xludf.DUMMYFUNCTION("IMPORTRANGE(""https://docs.google.com/spreadsheets/d/1XL5vhW3sbDhbH9Cz0tuDiY8C3ctxq1tqvaCgkFb8cCA/edit?usp=sharing"",""ร้อยเอ็ด!I344"")"),15)</f>
        <v>15</v>
      </c>
      <c r="J449" s="201">
        <f ca="1">IFERROR(__xludf.DUMMYFUNCTION("IMPORTRANGE(""https://docs.google.com/spreadsheets/d/1XL5vhW3sbDhbH9Cz0tuDiY8C3ctxq1tqvaCgkFb8cCA/edit?usp=sharing"",""ร้อยเอ็ด!J344"")"),15)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IFERROR(__xludf.DUMMYFUNCTION("IMPORTRANGE(""https://docs.google.com/spreadsheets/d/1XL5vhW3sbDhbH9Cz0tuDiY8C3ctxq1tqvaCgkFb8cCA/edit?usp=sharing"",""ร้อยเอ็ด!I345"")"),15)</f>
        <v>15</v>
      </c>
      <c r="J450" s="189">
        <f ca="1">IFERROR(__xludf.DUMMYFUNCTION("IMPORTRANGE(""https://docs.google.com/spreadsheets/d/1XL5vhW3sbDhbH9Cz0tuDiY8C3ctxq1tqvaCgkFb8cCA/edit?usp=sharing"",""ร้อยเอ็ด!J345"")"),15)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IFERROR(__xludf.DUMMYFUNCTION("IMPORTRANGE(""https://docs.google.com/spreadsheets/d/1XL5vhW3sbDhbH9Cz0tuDiY8C3ctxq1tqvaCgkFb8cCA/edit?usp=sharing"",""ร้อยเอ็ด!I346"")"),0)</f>
        <v>0</v>
      </c>
      <c r="J451" s="188">
        <f ca="1">IFERROR(__xludf.DUMMYFUNCTION("IMPORTRANGE(""https://docs.google.com/spreadsheets/d/1XL5vhW3sbDhbH9Cz0tuDiY8C3ctxq1tqvaCgkFb8cCA/edit?usp=sharing"",""ร้อยเอ็ด!J346"")"),0)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IFERROR(__xludf.DUMMYFUNCTION("IMPORTRANGE(""https://docs.google.com/spreadsheets/d/1XL5vhW3sbDhbH9Cz0tuDiY8C3ctxq1tqvaCgkFb8cCA/edit?usp=sharing"",""ร้อยเอ็ด!I347"")"),0)</f>
        <v>0</v>
      </c>
      <c r="J452" s="188">
        <f ca="1">IFERROR(__xludf.DUMMYFUNCTION("IMPORTRANGE(""https://docs.google.com/spreadsheets/d/1XL5vhW3sbDhbH9Cz0tuDiY8C3ctxq1tqvaCgkFb8cCA/edit?usp=sharing"",""ร้อยเอ็ด!J347"")"),0)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IFERROR(__xludf.DUMMYFUNCTION("IMPORTRANGE(""https://docs.google.com/spreadsheets/d/1XL5vhW3sbDhbH9Cz0tuDiY8C3ctxq1tqvaCgkFb8cCA/edit?usp=sharing"",""ร้อยเอ็ด!J348"")"),1)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IFERROR(__xludf.DUMMYFUNCTION("IMPORTRANGE(""https://docs.google.com/spreadsheets/d/1XL5vhW3sbDhbH9Cz0tuDiY8C3ctxq1tqvaCgkFb8cCA/edit?usp=sharing"",""ร้อยเอ็ด!J349"")"),1)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IFERROR(__xludf.DUMMYFUNCTION("IMPORTRANGE(""https://docs.google.com/spreadsheets/d/1XL5vhW3sbDhbH9Cz0tuDiY8C3ctxq1tqvaCgkFb8cCA/edit?usp=sharing"",""ร้อยเอ็ด!I350"")"),50037)</f>
        <v>50037</v>
      </c>
      <c r="J455" s="371">
        <f ca="1">IFERROR(__xludf.DUMMYFUNCTION("IMPORTRANGE(""https://docs.google.com/spreadsheets/d/1XL5vhW3sbDhbH9Cz0tuDiY8C3ctxq1tqvaCgkFb8cCA/edit?usp=sharing"",""ร้อยเอ็ด!J350"")"),0)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IFERROR(__xludf.DUMMYFUNCTION("IMPORTRANGE(""https://docs.google.com/spreadsheets/d/1XL5vhW3sbDhbH9Cz0tuDiY8C3ctxq1tqvaCgkFb8cCA/edit?usp=sharing"",""ร้อยเอ็ด!L350"")"),467053)</f>
        <v>467053</v>
      </c>
      <c r="M455" s="373"/>
      <c r="N455" s="373">
        <f ca="1">IFERROR(__xludf.DUMMYFUNCTION("IMPORTRANGE(""https://docs.google.com/spreadsheets/d/1XL5vhW3sbDhbH9Cz0tuDiY8C3ctxq1tqvaCgkFb8cCA/edit?usp=sharing"",""ร้อยเอ็ด!M350"")"),175012.02)</f>
        <v>175012.02</v>
      </c>
      <c r="O455" s="373">
        <f t="shared" ref="O455:O459" ca="1" si="116">+IF(L455&gt;0,N455*100/L455,0)</f>
        <v>37.471554620139472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IFERROR(__xludf.DUMMYFUNCTION("IMPORTRANGE(""https://docs.google.com/spreadsheets/d/1XL5vhW3sbDhbH9Cz0tuDiY8C3ctxq1tqvaCgkFb8cCA/edit?usp=sharing"",""ร้อยเอ็ด!L351"")"),0)</f>
        <v>0</v>
      </c>
      <c r="M456" s="164"/>
      <c r="N456" s="169">
        <f ca="1">IFERROR(__xludf.DUMMYFUNCTION("IMPORTRANGE(""https://docs.google.com/spreadsheets/d/1XL5vhW3sbDhbH9Cz0tuDiY8C3ctxq1tqvaCgkFb8cCA/edit?usp=sharing"",""ร้อยเอ็ด!M351"")"),0)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IFERROR(__xludf.DUMMYFUNCTION("IMPORTRANGE(""https://docs.google.com/spreadsheets/d/1XL5vhW3sbDhbH9Cz0tuDiY8C3ctxq1tqvaCgkFb8cCA/edit?usp=sharing"",""ร้อยเอ็ด!L352"")"),467053)</f>
        <v>467053</v>
      </c>
      <c r="M457" s="165"/>
      <c r="N457" s="169">
        <f ca="1">IFERROR(__xludf.DUMMYFUNCTION("IMPORTRANGE(""https://docs.google.com/spreadsheets/d/1XL5vhW3sbDhbH9Cz0tuDiY8C3ctxq1tqvaCgkFb8cCA/edit?usp=sharing"",""ร้อยเอ็ด!M352"")"),175012.02)</f>
        <v>175012.02</v>
      </c>
      <c r="O457" s="169">
        <f t="shared" ca="1" si="116"/>
        <v>37.471554620139472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IFERROR(__xludf.DUMMYFUNCTION("IMPORTRANGE(""https://docs.google.com/spreadsheets/d/1XL5vhW3sbDhbH9Cz0tuDiY8C3ctxq1tqvaCgkFb8cCA/edit?usp=sharing"",""ร้อยเอ็ด!L353"")"),0)</f>
        <v>0</v>
      </c>
      <c r="M458" s="169"/>
      <c r="N458" s="169">
        <f ca="1">IFERROR(__xludf.DUMMYFUNCTION("IMPORTRANGE(""https://docs.google.com/spreadsheets/d/1XL5vhW3sbDhbH9Cz0tuDiY8C3ctxq1tqvaCgkFb8cCA/edit?usp=sharing"",""ร้อยเอ็ด!M353"")"),0)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IFERROR(__xludf.DUMMYFUNCTION("IMPORTRANGE(""https://docs.google.com/spreadsheets/d/1XL5vhW3sbDhbH9Cz0tuDiY8C3ctxq1tqvaCgkFb8cCA/edit?usp=sharing"",""ร้อยเอ็ด!L354"")"),467053)</f>
        <v>467053</v>
      </c>
      <c r="M459" s="169"/>
      <c r="N459" s="169">
        <f ca="1">IFERROR(__xludf.DUMMYFUNCTION("IMPORTRANGE(""https://docs.google.com/spreadsheets/d/1XL5vhW3sbDhbH9Cz0tuDiY8C3ctxq1tqvaCgkFb8cCA/edit?usp=sharing"",""ร้อยเอ็ด!M354"")"),175012.02)</f>
        <v>175012.02</v>
      </c>
      <c r="O459" s="169">
        <f t="shared" ca="1" si="116"/>
        <v>37.471554620139472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IFERROR(__xludf.DUMMYFUNCTION("IMPORTRANGE(""https://docs.google.com/spreadsheets/d/1XL5vhW3sbDhbH9Cz0tuDiY8C3ctxq1tqvaCgkFb8cCA/edit?usp=sharing"",""ร้อยเอ็ด!M355"")"),0)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IFERROR(__xludf.DUMMYFUNCTION("IMPORTRANGE(""https://docs.google.com/spreadsheets/d/1XL5vhW3sbDhbH9Cz0tuDiY8C3ctxq1tqvaCgkFb8cCA/edit?usp=sharing"",""ร้อยเอ็ด!M356"")"),0)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IFERROR(__xludf.DUMMYFUNCTION("IMPORTRANGE(""https://docs.google.com/spreadsheets/d/1XL5vhW3sbDhbH9Cz0tuDiY8C3ctxq1tqvaCgkFb8cCA/edit?usp=sharing"",""ร้อยเอ็ด!M357"")"),59144.02)</f>
        <v>59144.02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IFERROR(__xludf.DUMMYFUNCTION("IMPORTRANGE(""https://docs.google.com/spreadsheets/d/1XL5vhW3sbDhbH9Cz0tuDiY8C3ctxq1tqvaCgkFb8cCA/edit?usp=sharing"",""ร้อยเอ็ด!M358"")"),115868)</f>
        <v>115868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IFERROR(__xludf.DUMMYFUNCTION("IMPORTRANGE(""https://docs.google.com/spreadsheets/d/1XL5vhW3sbDhbH9Cz0tuDiY8C3ctxq1tqvaCgkFb8cCA/edit?usp=sharing"",""ร้อยเอ็ด!I359"")"),50037)</f>
        <v>50037</v>
      </c>
      <c r="J464" s="267">
        <f ca="1">IFERROR(__xludf.DUMMYFUNCTION("IMPORTRANGE(""https://docs.google.com/spreadsheets/d/1XL5vhW3sbDhbH9Cz0tuDiY8C3ctxq1tqvaCgkFb8cCA/edit?usp=sharing"",""ร้อยเอ็ด!J359"")"),0)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IFERROR(__xludf.DUMMYFUNCTION("IMPORTRANGE(""https://docs.google.com/spreadsheets/d/1XL5vhW3sbDhbH9Cz0tuDiY8C3ctxq1tqvaCgkFb8cCA/edit?usp=sharing"",""ร้อยเอ็ด!I360"")"),50037)</f>
        <v>50037</v>
      </c>
      <c r="J465" s="420">
        <f ca="1">IFERROR(__xludf.DUMMYFUNCTION("IMPORTRANGE(""https://docs.google.com/spreadsheets/d/1XL5vhW3sbDhbH9Cz0tuDiY8C3ctxq1tqvaCgkFb8cCA/edit?usp=sharing"",""ร้อยเอ็ด!J360"")"),50037)</f>
        <v>50037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IFERROR(__xludf.DUMMYFUNCTION("IMPORTRANGE(""https://docs.google.com/spreadsheets/d/1XL5vhW3sbDhbH9Cz0tuDiY8C3ctxq1tqvaCgkFb8cCA/edit?usp=sharing"",""ร้อยเอ็ด!I361"")"),5144)</f>
        <v>5144</v>
      </c>
      <c r="J466" s="420">
        <f ca="1">IFERROR(__xludf.DUMMYFUNCTION("IMPORTRANGE(""https://docs.google.com/spreadsheets/d/1XL5vhW3sbDhbH9Cz0tuDiY8C3ctxq1tqvaCgkFb8cCA/edit?usp=sharing"",""ร้อยเอ็ด!J361"")"),5144)</f>
        <v>5144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IFERROR(__xludf.DUMMYFUNCTION("IMPORTRANGE(""https://docs.google.com/spreadsheets/d/1XL5vhW3sbDhbH9Cz0tuDiY8C3ctxq1tqvaCgkFb8cCA/edit?usp=sharing"",""ร้อยเอ็ด!I362"")"),0)</f>
        <v>0</v>
      </c>
      <c r="J467" s="189">
        <f ca="1">IFERROR(__xludf.DUMMYFUNCTION("IMPORTRANGE(""https://docs.google.com/spreadsheets/d/1XL5vhW3sbDhbH9Cz0tuDiY8C3ctxq1tqvaCgkFb8cCA/edit?usp=sharing"",""ร้อยเอ็ด!J362"")"),47279)</f>
        <v>47279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IFERROR(__xludf.DUMMYFUNCTION("IMPORTRANGE(""https://docs.google.com/spreadsheets/d/1XL5vhW3sbDhbH9Cz0tuDiY8C3ctxq1tqvaCgkFb8cCA/edit?usp=sharing"",""ร้อยเอ็ด!I363"")"),0)</f>
        <v>0</v>
      </c>
      <c r="J468" s="189">
        <f ca="1">IFERROR(__xludf.DUMMYFUNCTION("IMPORTRANGE(""https://docs.google.com/spreadsheets/d/1XL5vhW3sbDhbH9Cz0tuDiY8C3ctxq1tqvaCgkFb8cCA/edit?usp=sharing"",""ร้อยเอ็ด!J363"")"),4852)</f>
        <v>4852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IFERROR(__xludf.DUMMYFUNCTION("IMPORTRANGE(""https://docs.google.com/spreadsheets/d/1XL5vhW3sbDhbH9Cz0tuDiY8C3ctxq1tqvaCgkFb8cCA/edit?usp=sharing"",""ร้อยเอ็ด!I364"")"),0)</f>
        <v>0</v>
      </c>
      <c r="J469" s="189">
        <f ca="1">IFERROR(__xludf.DUMMYFUNCTION("IMPORTRANGE(""https://docs.google.com/spreadsheets/d/1XL5vhW3sbDhbH9Cz0tuDiY8C3ctxq1tqvaCgkFb8cCA/edit?usp=sharing"",""ร้อยเอ็ด!J364"")"),1708)</f>
        <v>1708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IFERROR(__xludf.DUMMYFUNCTION("IMPORTRANGE(""https://docs.google.com/spreadsheets/d/1XL5vhW3sbDhbH9Cz0tuDiY8C3ctxq1tqvaCgkFb8cCA/edit?usp=sharing"",""ร้อยเอ็ด!I365"")"),0)</f>
        <v>0</v>
      </c>
      <c r="J470" s="189">
        <f ca="1">IFERROR(__xludf.DUMMYFUNCTION("IMPORTRANGE(""https://docs.google.com/spreadsheets/d/1XL5vhW3sbDhbH9Cz0tuDiY8C3ctxq1tqvaCgkFb8cCA/edit?usp=sharing"",""ร้อยเอ็ด!J365"")"),171)</f>
        <v>171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IFERROR(__xludf.DUMMYFUNCTION("IMPORTRANGE(""https://docs.google.com/spreadsheets/d/1XL5vhW3sbDhbH9Cz0tuDiY8C3ctxq1tqvaCgkFb8cCA/edit?usp=sharing"",""ร้อยเอ็ด!I366"")"),0)</f>
        <v>0</v>
      </c>
      <c r="J471" s="189">
        <f ca="1">IFERROR(__xludf.DUMMYFUNCTION("IMPORTRANGE(""https://docs.google.com/spreadsheets/d/1XL5vhW3sbDhbH9Cz0tuDiY8C3ctxq1tqvaCgkFb8cCA/edit?usp=sharing"",""ร้อยเอ็ด!J366"")"),1050)</f>
        <v>1050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IFERROR(__xludf.DUMMYFUNCTION("IMPORTRANGE(""https://docs.google.com/spreadsheets/d/1XL5vhW3sbDhbH9Cz0tuDiY8C3ctxq1tqvaCgkFb8cCA/edit?usp=sharing"",""ร้อยเอ็ด!I367"")"),0)</f>
        <v>0</v>
      </c>
      <c r="J472" s="189">
        <f ca="1">IFERROR(__xludf.DUMMYFUNCTION("IMPORTRANGE(""https://docs.google.com/spreadsheets/d/1XL5vhW3sbDhbH9Cz0tuDiY8C3ctxq1tqvaCgkFb8cCA/edit?usp=sharing"",""ร้อยเอ็ด!J367"")"),121)</f>
        <v>121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IFERROR(__xludf.DUMMYFUNCTION("IMPORTRANGE(""https://docs.google.com/spreadsheets/d/1XL5vhW3sbDhbH9Cz0tuDiY8C3ctxq1tqvaCgkFb8cCA/edit?usp=sharing"",""ร้อยเอ็ด!I368"")"),50037)</f>
        <v>50037</v>
      </c>
      <c r="J473" s="420">
        <f ca="1">IFERROR(__xludf.DUMMYFUNCTION("IMPORTRANGE(""https://docs.google.com/spreadsheets/d/1XL5vhW3sbDhbH9Cz0tuDiY8C3ctxq1tqvaCgkFb8cCA/edit?usp=sharing"",""ร้อยเอ็ด!J368"")"),50037)</f>
        <v>50037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IFERROR(__xludf.DUMMYFUNCTION("IMPORTRANGE(""https://docs.google.com/spreadsheets/d/1XL5vhW3sbDhbH9Cz0tuDiY8C3ctxq1tqvaCgkFb8cCA/edit?usp=sharing"",""ร้อยเอ็ด!I369"")"),5144)</f>
        <v>5144</v>
      </c>
      <c r="J474" s="420">
        <f ca="1">IFERROR(__xludf.DUMMYFUNCTION("IMPORTRANGE(""https://docs.google.com/spreadsheets/d/1XL5vhW3sbDhbH9Cz0tuDiY8C3ctxq1tqvaCgkFb8cCA/edit?usp=sharing"",""ร้อยเอ็ด!J369"")"),5144)</f>
        <v>5144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IFERROR(__xludf.DUMMYFUNCTION("IMPORTRANGE(""https://docs.google.com/spreadsheets/d/1XL5vhW3sbDhbH9Cz0tuDiY8C3ctxq1tqvaCgkFb8cCA/edit?usp=sharing"",""ร้อยเอ็ด!I370"")"),0)</f>
        <v>0</v>
      </c>
      <c r="J475" s="189">
        <f ca="1">IFERROR(__xludf.DUMMYFUNCTION("IMPORTRANGE(""https://docs.google.com/spreadsheets/d/1XL5vhW3sbDhbH9Cz0tuDiY8C3ctxq1tqvaCgkFb8cCA/edit?usp=sharing"",""ร้อยเอ็ด!J370"")"),38865)</f>
        <v>38865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IFERROR(__xludf.DUMMYFUNCTION("IMPORTRANGE(""https://docs.google.com/spreadsheets/d/1XL5vhW3sbDhbH9Cz0tuDiY8C3ctxq1tqvaCgkFb8cCA/edit?usp=sharing"",""ร้อยเอ็ด!I371"")"),0)</f>
        <v>0</v>
      </c>
      <c r="J476" s="189">
        <f ca="1">IFERROR(__xludf.DUMMYFUNCTION("IMPORTRANGE(""https://docs.google.com/spreadsheets/d/1XL5vhW3sbDhbH9Cz0tuDiY8C3ctxq1tqvaCgkFb8cCA/edit?usp=sharing"",""ร้อยเอ็ด!J371"")"),4143)</f>
        <v>4143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IFERROR(__xludf.DUMMYFUNCTION("IMPORTRANGE(""https://docs.google.com/spreadsheets/d/1XL5vhW3sbDhbH9Cz0tuDiY8C3ctxq1tqvaCgkFb8cCA/edit?usp=sharing"",""ร้อยเอ็ด!I372"")"),0)</f>
        <v>0</v>
      </c>
      <c r="J477" s="189">
        <f ca="1">IFERROR(__xludf.DUMMYFUNCTION("IMPORTRANGE(""https://docs.google.com/spreadsheets/d/1XL5vhW3sbDhbH9Cz0tuDiY8C3ctxq1tqvaCgkFb8cCA/edit?usp=sharing"",""ร้อยเอ็ด!J372"")"),10972)</f>
        <v>10972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IFERROR(__xludf.DUMMYFUNCTION("IMPORTRANGE(""https://docs.google.com/spreadsheets/d/1XL5vhW3sbDhbH9Cz0tuDiY8C3ctxq1tqvaCgkFb8cCA/edit?usp=sharing"",""ร้อยเอ็ด!I373"")"),0)</f>
        <v>0</v>
      </c>
      <c r="J478" s="189">
        <f ca="1">IFERROR(__xludf.DUMMYFUNCTION("IMPORTRANGE(""https://docs.google.com/spreadsheets/d/1XL5vhW3sbDhbH9Cz0tuDiY8C3ctxq1tqvaCgkFb8cCA/edit?usp=sharing"",""ร้อยเอ็ด!J373"")"),983)</f>
        <v>983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IFERROR(__xludf.DUMMYFUNCTION("IMPORTRANGE(""https://docs.google.com/spreadsheets/d/1XL5vhW3sbDhbH9Cz0tuDiY8C3ctxq1tqvaCgkFb8cCA/edit?usp=sharing"",""ร้อยเอ็ด!I374"")"),0)</f>
        <v>0</v>
      </c>
      <c r="J479" s="189">
        <f ca="1">IFERROR(__xludf.DUMMYFUNCTION("IMPORTRANGE(""https://docs.google.com/spreadsheets/d/1XL5vhW3sbDhbH9Cz0tuDiY8C3ctxq1tqvaCgkFb8cCA/edit?usp=sharing"",""ร้อยเอ็ด!J374"")"),200)</f>
        <v>200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IFERROR(__xludf.DUMMYFUNCTION("IMPORTRANGE(""https://docs.google.com/spreadsheets/d/1XL5vhW3sbDhbH9Cz0tuDiY8C3ctxq1tqvaCgkFb8cCA/edit?usp=sharing"",""ร้อยเอ็ด!I375"")"),0)</f>
        <v>0</v>
      </c>
      <c r="J480" s="189">
        <f ca="1">IFERROR(__xludf.DUMMYFUNCTION("IMPORTRANGE(""https://docs.google.com/spreadsheets/d/1XL5vhW3sbDhbH9Cz0tuDiY8C3ctxq1tqvaCgkFb8cCA/edit?usp=sharing"",""ร้อยเอ็ด!J375"")"),18)</f>
        <v>18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IFERROR(__xludf.DUMMYFUNCTION("IMPORTRANGE(""https://docs.google.com/spreadsheets/d/1XL5vhW3sbDhbH9Cz0tuDiY8C3ctxq1tqvaCgkFb8cCA/edit?usp=sharing"",""ร้อยเอ็ด!I376"")"),50037)</f>
        <v>50037</v>
      </c>
      <c r="J481" s="420">
        <f ca="1">IFERROR(__xludf.DUMMYFUNCTION("IMPORTRANGE(""https://docs.google.com/spreadsheets/d/1XL5vhW3sbDhbH9Cz0tuDiY8C3ctxq1tqvaCgkFb8cCA/edit?usp=sharing"",""ร้อยเอ็ด!J376"")"),0)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IFERROR(__xludf.DUMMYFUNCTION("IMPORTRANGE(""https://docs.google.com/spreadsheets/d/1XL5vhW3sbDhbH9Cz0tuDiY8C3ctxq1tqvaCgkFb8cCA/edit?usp=sharing"",""ร้อยเอ็ด!I377"")"),5144)</f>
        <v>5144</v>
      </c>
      <c r="J482" s="420">
        <f ca="1">IFERROR(__xludf.DUMMYFUNCTION("IMPORTRANGE(""https://docs.google.com/spreadsheets/d/1XL5vhW3sbDhbH9Cz0tuDiY8C3ctxq1tqvaCgkFb8cCA/edit?usp=sharing"",""ร้อยเอ็ด!J377"")"),0)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IFERROR(__xludf.DUMMYFUNCTION("IMPORTRANGE(""https://docs.google.com/spreadsheets/d/1XL5vhW3sbDhbH9Cz0tuDiY8C3ctxq1tqvaCgkFb8cCA/edit?usp=sharing"",""ร้อยเอ็ด!I378"")"),0)</f>
        <v>0</v>
      </c>
      <c r="J483" s="189">
        <f ca="1">IFERROR(__xludf.DUMMYFUNCTION("IMPORTRANGE(""https://docs.google.com/spreadsheets/d/1XL5vhW3sbDhbH9Cz0tuDiY8C3ctxq1tqvaCgkFb8cCA/edit?usp=sharing"",""ร้อยเอ็ด!J378"")"),0)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IFERROR(__xludf.DUMMYFUNCTION("IMPORTRANGE(""https://docs.google.com/spreadsheets/d/1XL5vhW3sbDhbH9Cz0tuDiY8C3ctxq1tqvaCgkFb8cCA/edit?usp=sharing"",""ร้อยเอ็ด!I379"")"),0)</f>
        <v>0</v>
      </c>
      <c r="J484" s="189">
        <f ca="1">IFERROR(__xludf.DUMMYFUNCTION("IMPORTRANGE(""https://docs.google.com/spreadsheets/d/1XL5vhW3sbDhbH9Cz0tuDiY8C3ctxq1tqvaCgkFb8cCA/edit?usp=sharing"",""ร้อยเอ็ด!J379"")"),0)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IFERROR(__xludf.DUMMYFUNCTION("IMPORTRANGE(""https://docs.google.com/spreadsheets/d/1XL5vhW3sbDhbH9Cz0tuDiY8C3ctxq1tqvaCgkFb8cCA/edit?usp=sharing"",""ร้อยเอ็ด!I380"")"),0)</f>
        <v>0</v>
      </c>
      <c r="J485" s="189">
        <f ca="1">IFERROR(__xludf.DUMMYFUNCTION("IMPORTRANGE(""https://docs.google.com/spreadsheets/d/1XL5vhW3sbDhbH9Cz0tuDiY8C3ctxq1tqvaCgkFb8cCA/edit?usp=sharing"",""ร้อยเอ็ด!J380"")"),0)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IFERROR(__xludf.DUMMYFUNCTION("IMPORTRANGE(""https://docs.google.com/spreadsheets/d/1XL5vhW3sbDhbH9Cz0tuDiY8C3ctxq1tqvaCgkFb8cCA/edit?usp=sharing"",""ร้อยเอ็ด!I381"")"),0)</f>
        <v>0</v>
      </c>
      <c r="J486" s="189">
        <f ca="1">IFERROR(__xludf.DUMMYFUNCTION("IMPORTRANGE(""https://docs.google.com/spreadsheets/d/1XL5vhW3sbDhbH9Cz0tuDiY8C3ctxq1tqvaCgkFb8cCA/edit?usp=sharing"",""ร้อยเอ็ด!J381"")"),0)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IFERROR(__xludf.DUMMYFUNCTION("IMPORTRANGE(""https://docs.google.com/spreadsheets/d/1XL5vhW3sbDhbH9Cz0tuDiY8C3ctxq1tqvaCgkFb8cCA/edit?usp=sharing"",""ร้อยเอ็ด!I382"")"),0)</f>
        <v>0</v>
      </c>
      <c r="J487" s="420">
        <f ca="1">IFERROR(__xludf.DUMMYFUNCTION("IMPORTRANGE(""https://docs.google.com/spreadsheets/d/1XL5vhW3sbDhbH9Cz0tuDiY8C3ctxq1tqvaCgkFb8cCA/edit?usp=sharing"",""ร้อยเอ็ด!J382"")"),0)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IFERROR(__xludf.DUMMYFUNCTION("IMPORTRANGE(""https://docs.google.com/spreadsheets/d/1XL5vhW3sbDhbH9Cz0tuDiY8C3ctxq1tqvaCgkFb8cCA/edit?usp=sharing"",""ร้อยเอ็ด!I383"")"),0)</f>
        <v>0</v>
      </c>
      <c r="J488" s="420">
        <f ca="1">IFERROR(__xludf.DUMMYFUNCTION("IMPORTRANGE(""https://docs.google.com/spreadsheets/d/1XL5vhW3sbDhbH9Cz0tuDiY8C3ctxq1tqvaCgkFb8cCA/edit?usp=sharing"",""ร้อยเอ็ด!J383"")"),0)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IFERROR(__xludf.DUMMYFUNCTION("IMPORTRANGE(""https://docs.google.com/spreadsheets/d/1XL5vhW3sbDhbH9Cz0tuDiY8C3ctxq1tqvaCgkFb8cCA/edit?usp=sharing"",""ร้อยเอ็ด!I384"")"),0)</f>
        <v>0</v>
      </c>
      <c r="J489" s="189">
        <f ca="1">IFERROR(__xludf.DUMMYFUNCTION("IMPORTRANGE(""https://docs.google.com/spreadsheets/d/1XL5vhW3sbDhbH9Cz0tuDiY8C3ctxq1tqvaCgkFb8cCA/edit?usp=sharing"",""ร้อยเอ็ด!J384"")"),0)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IFERROR(__xludf.DUMMYFUNCTION("IMPORTRANGE(""https://docs.google.com/spreadsheets/d/1XL5vhW3sbDhbH9Cz0tuDiY8C3ctxq1tqvaCgkFb8cCA/edit?usp=sharing"",""ร้อยเอ็ด!I385"")"),0)</f>
        <v>0</v>
      </c>
      <c r="J490" s="189">
        <f ca="1">IFERROR(__xludf.DUMMYFUNCTION("IMPORTRANGE(""https://docs.google.com/spreadsheets/d/1XL5vhW3sbDhbH9Cz0tuDiY8C3ctxq1tqvaCgkFb8cCA/edit?usp=sharing"",""ร้อยเอ็ด!J385"")"),0)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IFERROR(__xludf.DUMMYFUNCTION("IMPORTRANGE(""https://docs.google.com/spreadsheets/d/1XL5vhW3sbDhbH9Cz0tuDiY8C3ctxq1tqvaCgkFb8cCA/edit?usp=sharing"",""ร้อยเอ็ด!I386"")"),0)</f>
        <v>0</v>
      </c>
      <c r="J491" s="189">
        <f ca="1">IFERROR(__xludf.DUMMYFUNCTION("IMPORTRANGE(""https://docs.google.com/spreadsheets/d/1XL5vhW3sbDhbH9Cz0tuDiY8C3ctxq1tqvaCgkFb8cCA/edit?usp=sharing"",""ร้อยเอ็ด!J386"")"),0)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IFERROR(__xludf.DUMMYFUNCTION("IMPORTRANGE(""https://docs.google.com/spreadsheets/d/1XL5vhW3sbDhbH9Cz0tuDiY8C3ctxq1tqvaCgkFb8cCA/edit?usp=sharing"",""ร้อยเอ็ด!I387"")"),0)</f>
        <v>0</v>
      </c>
      <c r="J492" s="189">
        <f ca="1">IFERROR(__xludf.DUMMYFUNCTION("IMPORTRANGE(""https://docs.google.com/spreadsheets/d/1XL5vhW3sbDhbH9Cz0tuDiY8C3ctxq1tqvaCgkFb8cCA/edit?usp=sharing"",""ร้อยเอ็ด!J387"")"),0)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IFERROR(__xludf.DUMMYFUNCTION("IMPORTRANGE(""https://docs.google.com/spreadsheets/d/1XL5vhW3sbDhbH9Cz0tuDiY8C3ctxq1tqvaCgkFb8cCA/edit?usp=sharing"",""ร้อยเอ็ด!I388"")"),0)</f>
        <v>0</v>
      </c>
      <c r="J493" s="189">
        <f ca="1">IFERROR(__xludf.DUMMYFUNCTION("IMPORTRANGE(""https://docs.google.com/spreadsheets/d/1XL5vhW3sbDhbH9Cz0tuDiY8C3ctxq1tqvaCgkFb8cCA/edit?usp=sharing"",""ร้อยเอ็ด!J388"")"),0)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IFERROR(__xludf.DUMMYFUNCTION("IMPORTRANGE(""https://docs.google.com/spreadsheets/d/1XL5vhW3sbDhbH9Cz0tuDiY8C3ctxq1tqvaCgkFb8cCA/edit?usp=sharing"",""ร้อยเอ็ด!I389"")"),0)</f>
        <v>0</v>
      </c>
      <c r="J494" s="436">
        <f ca="1">IFERROR(__xludf.DUMMYFUNCTION("IMPORTRANGE(""https://docs.google.com/spreadsheets/d/1XL5vhW3sbDhbH9Cz0tuDiY8C3ctxq1tqvaCgkFb8cCA/edit?usp=sharing"",""ร้อยเอ็ด!J389"")"),0)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IFERROR(__xludf.DUMMYFUNCTION("IMPORTRANGE(""https://docs.google.com/spreadsheets/d/1XL5vhW3sbDhbH9Cz0tuDiY8C3ctxq1tqvaCgkFb8cCA/edit?usp=sharing"",""ร้อยเอ็ด!I390"")"),0)</f>
        <v>0</v>
      </c>
      <c r="J495" s="436">
        <f ca="1">IFERROR(__xludf.DUMMYFUNCTION("IMPORTRANGE(""https://docs.google.com/spreadsheets/d/1XL5vhW3sbDhbH9Cz0tuDiY8C3ctxq1tqvaCgkFb8cCA/edit?usp=sharing"",""ร้อยเอ็ด!J390"")"),0)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IFERROR(__xludf.DUMMYFUNCTION("IMPORTRANGE(""https://docs.google.com/spreadsheets/d/1XL5vhW3sbDhbH9Cz0tuDiY8C3ctxq1tqvaCgkFb8cCA/edit?usp=sharing"",""ร้อยเอ็ด!I391"")"),0)</f>
        <v>0</v>
      </c>
      <c r="J496" s="436">
        <f ca="1">IFERROR(__xludf.DUMMYFUNCTION("IMPORTRANGE(""https://docs.google.com/spreadsheets/d/1XL5vhW3sbDhbH9Cz0tuDiY8C3ctxq1tqvaCgkFb8cCA/edit?usp=sharing"",""ร้อยเอ็ด!J391"")"),0)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IFERROR(__xludf.DUMMYFUNCTION("IMPORTRANGE(""https://docs.google.com/spreadsheets/d/1XL5vhW3sbDhbH9Cz0tuDiY8C3ctxq1tqvaCgkFb8cCA/edit?usp=sharing"",""ร้อยเอ็ด!I392"")"),572)</f>
        <v>572</v>
      </c>
      <c r="J497" s="443">
        <f ca="1">IFERROR(__xludf.DUMMYFUNCTION("IMPORTRANGE(""https://docs.google.com/spreadsheets/d/1XL5vhW3sbDhbH9Cz0tuDiY8C3ctxq1tqvaCgkFb8cCA/edit?usp=sharing"",""ร้อยเอ็ด!J392"")"),207)</f>
        <v>207</v>
      </c>
      <c r="K497" s="444">
        <f t="shared" ca="1" si="117"/>
        <v>36.188811188811187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IFERROR(__xludf.DUMMYFUNCTION("IMPORTRANGE(""https://docs.google.com/spreadsheets/d/1XL5vhW3sbDhbH9Cz0tuDiY8C3ctxq1tqvaCgkFb8cCA/edit?usp=sharing"",""ร้อยเอ็ด!I393"")"),572)</f>
        <v>572</v>
      </c>
      <c r="J498" s="420">
        <f ca="1">IFERROR(__xludf.DUMMYFUNCTION("IMPORTRANGE(""https://docs.google.com/spreadsheets/d/1XL5vhW3sbDhbH9Cz0tuDiY8C3ctxq1tqvaCgkFb8cCA/edit?usp=sharing"",""ร้อยเอ็ด!J393"")"),207)</f>
        <v>207</v>
      </c>
      <c r="K498" s="202">
        <f t="shared" ca="1" si="117"/>
        <v>36.188811188811187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IFERROR(__xludf.DUMMYFUNCTION("IMPORTRANGE(""https://docs.google.com/spreadsheets/d/1XL5vhW3sbDhbH9Cz0tuDiY8C3ctxq1tqvaCgkFb8cCA/edit?usp=sharing"",""ร้อยเอ็ด!I394"")"),60)</f>
        <v>60</v>
      </c>
      <c r="J499" s="420">
        <f ca="1">IFERROR(__xludf.DUMMYFUNCTION("IMPORTRANGE(""https://docs.google.com/spreadsheets/d/1XL5vhW3sbDhbH9Cz0tuDiY8C3ctxq1tqvaCgkFb8cCA/edit?usp=sharing"",""ร้อยเอ็ด!J394"")"),20)</f>
        <v>20</v>
      </c>
      <c r="K499" s="202">
        <f t="shared" ca="1" si="117"/>
        <v>33.333333333333336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IFERROR(__xludf.DUMMYFUNCTION("IMPORTRANGE(""https://docs.google.com/spreadsheets/d/1XL5vhW3sbDhbH9Cz0tuDiY8C3ctxq1tqvaCgkFb8cCA/edit?usp=sharing"",""ร้อยเอ็ด!I395"")"),0)</f>
        <v>0</v>
      </c>
      <c r="J500" s="162">
        <f ca="1">IFERROR(__xludf.DUMMYFUNCTION("IMPORTRANGE(""https://docs.google.com/spreadsheets/d/1XL5vhW3sbDhbH9Cz0tuDiY8C3ctxq1tqvaCgkFb8cCA/edit?usp=sharing"",""ร้อยเอ็ด!J395"")"),207)</f>
        <v>207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IFERROR(__xludf.DUMMYFUNCTION("IMPORTRANGE(""https://docs.google.com/spreadsheets/d/1XL5vhW3sbDhbH9Cz0tuDiY8C3ctxq1tqvaCgkFb8cCA/edit?usp=sharing"",""ร้อยเอ็ด!I396"")"),0)</f>
        <v>0</v>
      </c>
      <c r="J501" s="162">
        <f ca="1">IFERROR(__xludf.DUMMYFUNCTION("IMPORTRANGE(""https://docs.google.com/spreadsheets/d/1XL5vhW3sbDhbH9Cz0tuDiY8C3ctxq1tqvaCgkFb8cCA/edit?usp=sharing"",""ร้อยเอ็ด!J396"")"),20)</f>
        <v>20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IFERROR(__xludf.DUMMYFUNCTION("IMPORTRANGE(""https://docs.google.com/spreadsheets/d/1XL5vhW3sbDhbH9Cz0tuDiY8C3ctxq1tqvaCgkFb8cCA/edit?usp=sharing"",""ร้อยเอ็ด!I397"")"),0)</f>
        <v>0</v>
      </c>
      <c r="J502" s="189">
        <f ca="1">IFERROR(__xludf.DUMMYFUNCTION("IMPORTRANGE(""https://docs.google.com/spreadsheets/d/1XL5vhW3sbDhbH9Cz0tuDiY8C3ctxq1tqvaCgkFb8cCA/edit?usp=sharing"",""ร้อยเอ็ด!J397"")"),207)</f>
        <v>207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IFERROR(__xludf.DUMMYFUNCTION("IMPORTRANGE(""https://docs.google.com/spreadsheets/d/1XL5vhW3sbDhbH9Cz0tuDiY8C3ctxq1tqvaCgkFb8cCA/edit?usp=sharing"",""ร้อยเอ็ด!I398"")"),0)</f>
        <v>0</v>
      </c>
      <c r="J503" s="198">
        <f ca="1">IFERROR(__xludf.DUMMYFUNCTION("IMPORTRANGE(""https://docs.google.com/spreadsheets/d/1XL5vhW3sbDhbH9Cz0tuDiY8C3ctxq1tqvaCgkFb8cCA/edit?usp=sharing"",""ร้อยเอ็ด!J398"")"),20)</f>
        <v>20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IFERROR(__xludf.DUMMYFUNCTION("IMPORTRANGE(""https://docs.google.com/spreadsheets/d/1XL5vhW3sbDhbH9Cz0tuDiY8C3ctxq1tqvaCgkFb8cCA/edit?usp=sharing"",""ร้อยเอ็ด!I399"")"),0)</f>
        <v>0</v>
      </c>
      <c r="J504" s="189">
        <f ca="1">IFERROR(__xludf.DUMMYFUNCTION("IMPORTRANGE(""https://docs.google.com/spreadsheets/d/1XL5vhW3sbDhbH9Cz0tuDiY8C3ctxq1tqvaCgkFb8cCA/edit?usp=sharing"",""ร้อยเอ็ด!J399"")"),0)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IFERROR(__xludf.DUMMYFUNCTION("IMPORTRANGE(""https://docs.google.com/spreadsheets/d/1XL5vhW3sbDhbH9Cz0tuDiY8C3ctxq1tqvaCgkFb8cCA/edit?usp=sharing"",""ร้อยเอ็ด!I400"")"),0)</f>
        <v>0</v>
      </c>
      <c r="J505" s="198">
        <f ca="1">IFERROR(__xludf.DUMMYFUNCTION("IMPORTRANGE(""https://docs.google.com/spreadsheets/d/1XL5vhW3sbDhbH9Cz0tuDiY8C3ctxq1tqvaCgkFb8cCA/edit?usp=sharing"",""ร้อยเอ็ด!J400"")"),0)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IFERROR(__xludf.DUMMYFUNCTION("IMPORTRANGE(""https://docs.google.com/spreadsheets/d/1XL5vhW3sbDhbH9Cz0tuDiY8C3ctxq1tqvaCgkFb8cCA/edit?usp=sharing"",""ร้อยเอ็ด!I401"")"),0)</f>
        <v>0</v>
      </c>
      <c r="J506" s="189">
        <f ca="1">IFERROR(__xludf.DUMMYFUNCTION("IMPORTRANGE(""https://docs.google.com/spreadsheets/d/1XL5vhW3sbDhbH9Cz0tuDiY8C3ctxq1tqvaCgkFb8cCA/edit?usp=sharing"",""ร้อยเอ็ด!J401"")"),0)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IFERROR(__xludf.DUMMYFUNCTION("IMPORTRANGE(""https://docs.google.com/spreadsheets/d/1XL5vhW3sbDhbH9Cz0tuDiY8C3ctxq1tqvaCgkFb8cCA/edit?usp=sharing"",""ร้อยเอ็ด!I402"")"),0)</f>
        <v>0</v>
      </c>
      <c r="J507" s="198">
        <f ca="1">IFERROR(__xludf.DUMMYFUNCTION("IMPORTRANGE(""https://docs.google.com/spreadsheets/d/1XL5vhW3sbDhbH9Cz0tuDiY8C3ctxq1tqvaCgkFb8cCA/edit?usp=sharing"",""ร้อยเอ็ด!J402"")"),0)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IFERROR(__xludf.DUMMYFUNCTION("IMPORTRANGE(""https://docs.google.com/spreadsheets/d/1XL5vhW3sbDhbH9Cz0tuDiY8C3ctxq1tqvaCgkFb8cCA/edit?usp=sharing"",""ร้อยเอ็ด!I403"")"),0)</f>
        <v>0</v>
      </c>
      <c r="J508" s="162">
        <f ca="1">IFERROR(__xludf.DUMMYFUNCTION("IMPORTRANGE(""https://docs.google.com/spreadsheets/d/1XL5vhW3sbDhbH9Cz0tuDiY8C3ctxq1tqvaCgkFb8cCA/edit?usp=sharing"",""ร้อยเอ็ด!J403"")"),0)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IFERROR(__xludf.DUMMYFUNCTION("IMPORTRANGE(""https://docs.google.com/spreadsheets/d/1XL5vhW3sbDhbH9Cz0tuDiY8C3ctxq1tqvaCgkFb8cCA/edit?usp=sharing"",""ร้อยเอ็ด!I404"")"),0)</f>
        <v>0</v>
      </c>
      <c r="J509" s="162">
        <f ca="1">IFERROR(__xludf.DUMMYFUNCTION("IMPORTRANGE(""https://docs.google.com/spreadsheets/d/1XL5vhW3sbDhbH9Cz0tuDiY8C3ctxq1tqvaCgkFb8cCA/edit?usp=sharing"",""ร้อยเอ็ด!J404"")"),0)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IFERROR(__xludf.DUMMYFUNCTION("IMPORTRANGE(""https://docs.google.com/spreadsheets/d/1XL5vhW3sbDhbH9Cz0tuDiY8C3ctxq1tqvaCgkFb8cCA/edit?usp=sharing"",""ร้อยเอ็ด!I405"")"),0)</f>
        <v>0</v>
      </c>
      <c r="J510" s="198">
        <f ca="1">IFERROR(__xludf.DUMMYFUNCTION("IMPORTRANGE(""https://docs.google.com/spreadsheets/d/1XL5vhW3sbDhbH9Cz0tuDiY8C3ctxq1tqvaCgkFb8cCA/edit?usp=sharing"",""ร้อยเอ็ด!J405"")"),0)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IFERROR(__xludf.DUMMYFUNCTION("IMPORTRANGE(""https://docs.google.com/spreadsheets/d/1XL5vhW3sbDhbH9Cz0tuDiY8C3ctxq1tqvaCgkFb8cCA/edit?usp=sharing"",""ร้อยเอ็ด!I406"")"),0)</f>
        <v>0</v>
      </c>
      <c r="J511" s="198">
        <f ca="1">IFERROR(__xludf.DUMMYFUNCTION("IMPORTRANGE(""https://docs.google.com/spreadsheets/d/1XL5vhW3sbDhbH9Cz0tuDiY8C3ctxq1tqvaCgkFb8cCA/edit?usp=sharing"",""ร้อยเอ็ด!J406"")"),0)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IFERROR(__xludf.DUMMYFUNCTION("IMPORTRANGE(""https://docs.google.com/spreadsheets/d/1XL5vhW3sbDhbH9Cz0tuDiY8C3ctxq1tqvaCgkFb8cCA/edit?usp=sharing"",""ร้อยเอ็ด!I407"")"),0)</f>
        <v>0</v>
      </c>
      <c r="J512" s="198">
        <f ca="1">IFERROR(__xludf.DUMMYFUNCTION("IMPORTRANGE(""https://docs.google.com/spreadsheets/d/1XL5vhW3sbDhbH9Cz0tuDiY8C3ctxq1tqvaCgkFb8cCA/edit?usp=sharing"",""ร้อยเอ็ด!J407"")"),0)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IFERROR(__xludf.DUMMYFUNCTION("IMPORTRANGE(""https://docs.google.com/spreadsheets/d/1XL5vhW3sbDhbH9Cz0tuDiY8C3ctxq1tqvaCgkFb8cCA/edit?usp=sharing"",""ร้อยเอ็ด!I408"")"),0)</f>
        <v>0</v>
      </c>
      <c r="J513" s="198">
        <f ca="1">IFERROR(__xludf.DUMMYFUNCTION("IMPORTRANGE(""https://docs.google.com/spreadsheets/d/1XL5vhW3sbDhbH9Cz0tuDiY8C3ctxq1tqvaCgkFb8cCA/edit?usp=sharing"",""ร้อยเอ็ด!J408"")"),0)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IFERROR(__xludf.DUMMYFUNCTION("IMPORTRANGE(""https://docs.google.com/spreadsheets/d/1XL5vhW3sbDhbH9Cz0tuDiY8C3ctxq1tqvaCgkFb8cCA/edit?usp=sharing"",""ร้อยเอ็ด!I409"")"),0)</f>
        <v>0</v>
      </c>
      <c r="J514" s="198">
        <f ca="1">IFERROR(__xludf.DUMMYFUNCTION("IMPORTRANGE(""https://docs.google.com/spreadsheets/d/1XL5vhW3sbDhbH9Cz0tuDiY8C3ctxq1tqvaCgkFb8cCA/edit?usp=sharing"",""ร้อยเอ็ด!J409"")"),0)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IFERROR(__xludf.DUMMYFUNCTION("IMPORTRANGE(""https://docs.google.com/spreadsheets/d/1XL5vhW3sbDhbH9Cz0tuDiY8C3ctxq1tqvaCgkFb8cCA/edit?usp=sharing"",""ร้อยเอ็ด!I410"")"),0)</f>
        <v>0</v>
      </c>
      <c r="J515" s="198">
        <f ca="1">IFERROR(__xludf.DUMMYFUNCTION("IMPORTRANGE(""https://docs.google.com/spreadsheets/d/1XL5vhW3sbDhbH9Cz0tuDiY8C3ctxq1tqvaCgkFb8cCA/edit?usp=sharing"",""ร้อยเอ็ด!J410"")"),0)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IFERROR(__xludf.DUMMYFUNCTION("IMPORTRANGE(""https://docs.google.com/spreadsheets/d/1XL5vhW3sbDhbH9Cz0tuDiY8C3ctxq1tqvaCgkFb8cCA/edit?usp=sharing"",""ร้อยเอ็ด!I411"")"),0)</f>
        <v>0</v>
      </c>
      <c r="J516" s="267">
        <f ca="1">IFERROR(__xludf.DUMMYFUNCTION("IMPORTRANGE(""https://docs.google.com/spreadsheets/d/1XL5vhW3sbDhbH9Cz0tuDiY8C3ctxq1tqvaCgkFb8cCA/edit?usp=sharing"",""ร้อยเอ็ด!J411"")"),0)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IFERROR(__xludf.DUMMYFUNCTION("IMPORTRANGE(""https://docs.google.com/spreadsheets/d/1XL5vhW3sbDhbH9Cz0tuDiY8C3ctxq1tqvaCgkFb8cCA/edit?usp=sharing"",""ร้อยเอ็ด!I412"")"),0)</f>
        <v>0</v>
      </c>
      <c r="J517" s="284">
        <f ca="1">IFERROR(__xludf.DUMMYFUNCTION("IMPORTRANGE(""https://docs.google.com/spreadsheets/d/1XL5vhW3sbDhbH9Cz0tuDiY8C3ctxq1tqvaCgkFb8cCA/edit?usp=sharing"",""ร้อยเอ็ด!J412"")"),0)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IFERROR(__xludf.DUMMYFUNCTION("IMPORTRANGE(""https://docs.google.com/spreadsheets/d/1XL5vhW3sbDhbH9Cz0tuDiY8C3ctxq1tqvaCgkFb8cCA/edit?usp=sharing"",""ร้อยเอ็ด!I413"")"),0)</f>
        <v>0</v>
      </c>
      <c r="J518" s="284">
        <f ca="1">IFERROR(__xludf.DUMMYFUNCTION("IMPORTRANGE(""https://docs.google.com/spreadsheets/d/1XL5vhW3sbDhbH9Cz0tuDiY8C3ctxq1tqvaCgkFb8cCA/edit?usp=sharing"",""ร้อยเอ็ด!J413"")"),0)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IFERROR(__xludf.DUMMYFUNCTION("IMPORTRANGE(""https://docs.google.com/spreadsheets/d/1XL5vhW3sbDhbH9Cz0tuDiY8C3ctxq1tqvaCgkFb8cCA/edit?usp=sharing"",""ร้อยเอ็ด!I414"")"),0)</f>
        <v>0</v>
      </c>
      <c r="J519" s="188">
        <f ca="1">IFERROR(__xludf.DUMMYFUNCTION("IMPORTRANGE(""https://docs.google.com/spreadsheets/d/1XL5vhW3sbDhbH9Cz0tuDiY8C3ctxq1tqvaCgkFb8cCA/edit?usp=sharing"",""ร้อยเอ็ด!J414"")"),0)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IFERROR(__xludf.DUMMYFUNCTION("IMPORTRANGE(""https://docs.google.com/spreadsheets/d/1XL5vhW3sbDhbH9Cz0tuDiY8C3ctxq1tqvaCgkFb8cCA/edit?usp=sharing"",""ร้อยเอ็ด!I415"")"),0)</f>
        <v>0</v>
      </c>
      <c r="J520" s="188">
        <f ca="1">IFERROR(__xludf.DUMMYFUNCTION("IMPORTRANGE(""https://docs.google.com/spreadsheets/d/1XL5vhW3sbDhbH9Cz0tuDiY8C3ctxq1tqvaCgkFb8cCA/edit?usp=sharing"",""ร้อยเอ็ด!J415"")"),0)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IFERROR(__xludf.DUMMYFUNCTION("IMPORTRANGE(""https://docs.google.com/spreadsheets/d/1XL5vhW3sbDhbH9Cz0tuDiY8C3ctxq1tqvaCgkFb8cCA/edit?usp=sharing"",""ร้อยเอ็ด!I416"")"),0)</f>
        <v>0</v>
      </c>
      <c r="J521" s="188">
        <f ca="1">IFERROR(__xludf.DUMMYFUNCTION("IMPORTRANGE(""https://docs.google.com/spreadsheets/d/1XL5vhW3sbDhbH9Cz0tuDiY8C3ctxq1tqvaCgkFb8cCA/edit?usp=sharing"",""ร้อยเอ็ด!J416"")"),0)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IFERROR(__xludf.DUMMYFUNCTION("IMPORTRANGE(""https://docs.google.com/spreadsheets/d/1XL5vhW3sbDhbH9Cz0tuDiY8C3ctxq1tqvaCgkFb8cCA/edit?usp=sharing"",""ร้อยเอ็ด!I417"")"),0)</f>
        <v>0</v>
      </c>
      <c r="J522" s="188">
        <f ca="1">IFERROR(__xludf.DUMMYFUNCTION("IMPORTRANGE(""https://docs.google.com/spreadsheets/d/1XL5vhW3sbDhbH9Cz0tuDiY8C3ctxq1tqvaCgkFb8cCA/edit?usp=sharing"",""ร้อยเอ็ด!J417"")"),0)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IFERROR(__xludf.DUMMYFUNCTION("IMPORTRANGE(""https://docs.google.com/spreadsheets/d/1XL5vhW3sbDhbH9Cz0tuDiY8C3ctxq1tqvaCgkFb8cCA/edit?usp=sharing"",""ร้อยเอ็ด!I418"")"),0)</f>
        <v>0</v>
      </c>
      <c r="J523" s="188">
        <f ca="1">IFERROR(__xludf.DUMMYFUNCTION("IMPORTRANGE(""https://docs.google.com/spreadsheets/d/1XL5vhW3sbDhbH9Cz0tuDiY8C3ctxq1tqvaCgkFb8cCA/edit?usp=sharing"",""ร้อยเอ็ด!J418"")"),0)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IFERROR(__xludf.DUMMYFUNCTION("IMPORTRANGE(""https://docs.google.com/spreadsheets/d/1XL5vhW3sbDhbH9Cz0tuDiY8C3ctxq1tqvaCgkFb8cCA/edit?usp=sharing"",""ร้อยเอ็ด!I419"")"),0)</f>
        <v>0</v>
      </c>
      <c r="J524" s="188">
        <f ca="1">IFERROR(__xludf.DUMMYFUNCTION("IMPORTRANGE(""https://docs.google.com/spreadsheets/d/1XL5vhW3sbDhbH9Cz0tuDiY8C3ctxq1tqvaCgkFb8cCA/edit?usp=sharing"",""ร้อยเอ็ด!J419"")"),0)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IFERROR(__xludf.DUMMYFUNCTION("IMPORTRANGE(""https://docs.google.com/spreadsheets/d/1XL5vhW3sbDhbH9Cz0tuDiY8C3ctxq1tqvaCgkFb8cCA/edit?usp=sharing"",""ร้อยเอ็ด!I420"")"),0)</f>
        <v>0</v>
      </c>
      <c r="J525" s="284">
        <f ca="1">IFERROR(__xludf.DUMMYFUNCTION("IMPORTRANGE(""https://docs.google.com/spreadsheets/d/1XL5vhW3sbDhbH9Cz0tuDiY8C3ctxq1tqvaCgkFb8cCA/edit?usp=sharing"",""ร้อยเอ็ด!J420"")"),0)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IFERROR(__xludf.DUMMYFUNCTION("IMPORTRANGE(""https://docs.google.com/spreadsheets/d/1XL5vhW3sbDhbH9Cz0tuDiY8C3ctxq1tqvaCgkFb8cCA/edit?usp=sharing"",""ร้อยเอ็ด!I421"")"),0)</f>
        <v>0</v>
      </c>
      <c r="J526" s="284">
        <f ca="1">IFERROR(__xludf.DUMMYFUNCTION("IMPORTRANGE(""https://docs.google.com/spreadsheets/d/1XL5vhW3sbDhbH9Cz0tuDiY8C3ctxq1tqvaCgkFb8cCA/edit?usp=sharing"",""ร้อยเอ็ด!J421"")"),0)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IFERROR(__xludf.DUMMYFUNCTION("IMPORTRANGE(""https://docs.google.com/spreadsheets/d/1XL5vhW3sbDhbH9Cz0tuDiY8C3ctxq1tqvaCgkFb8cCA/edit?usp=sharing"",""ร้อยเอ็ด!I422"")"),0)</f>
        <v>0</v>
      </c>
      <c r="J527" s="198">
        <f ca="1">IFERROR(__xludf.DUMMYFUNCTION("IMPORTRANGE(""https://docs.google.com/spreadsheets/d/1XL5vhW3sbDhbH9Cz0tuDiY8C3ctxq1tqvaCgkFb8cCA/edit?usp=sharing"",""ร้อยเอ็ด!J422"")"),0)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IFERROR(__xludf.DUMMYFUNCTION("IMPORTRANGE(""https://docs.google.com/spreadsheets/d/1XL5vhW3sbDhbH9Cz0tuDiY8C3ctxq1tqvaCgkFb8cCA/edit?usp=sharing"",""ร้อยเอ็ด!I423"")"),0)</f>
        <v>0</v>
      </c>
      <c r="J528" s="198">
        <f ca="1">IFERROR(__xludf.DUMMYFUNCTION("IMPORTRANGE(""https://docs.google.com/spreadsheets/d/1XL5vhW3sbDhbH9Cz0tuDiY8C3ctxq1tqvaCgkFb8cCA/edit?usp=sharing"",""ร้อยเอ็ด!J423"")"),0)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IFERROR(__xludf.DUMMYFUNCTION("IMPORTRANGE(""https://docs.google.com/spreadsheets/d/1XL5vhW3sbDhbH9Cz0tuDiY8C3ctxq1tqvaCgkFb8cCA/edit?usp=sharing"",""ร้อยเอ็ด!I424"")"),0)</f>
        <v>0</v>
      </c>
      <c r="J529" s="198">
        <f ca="1">IFERROR(__xludf.DUMMYFUNCTION("IMPORTRANGE(""https://docs.google.com/spreadsheets/d/1XL5vhW3sbDhbH9Cz0tuDiY8C3ctxq1tqvaCgkFb8cCA/edit?usp=sharing"",""ร้อยเอ็ด!J424"")"),0)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IFERROR(__xludf.DUMMYFUNCTION("IMPORTRANGE(""https://docs.google.com/spreadsheets/d/1XL5vhW3sbDhbH9Cz0tuDiY8C3ctxq1tqvaCgkFb8cCA/edit?usp=sharing"",""ร้อยเอ็ด!I425"")"),0)</f>
        <v>0</v>
      </c>
      <c r="J530" s="198">
        <f ca="1">IFERROR(__xludf.DUMMYFUNCTION("IMPORTRANGE(""https://docs.google.com/spreadsheets/d/1XL5vhW3sbDhbH9Cz0tuDiY8C3ctxq1tqvaCgkFb8cCA/edit?usp=sharing"",""ร้อยเอ็ด!J425"")"),0)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IFERROR(__xludf.DUMMYFUNCTION("IMPORTRANGE(""https://docs.google.com/spreadsheets/d/1XL5vhW3sbDhbH9Cz0tuDiY8C3ctxq1tqvaCgkFb8cCA/edit?usp=sharing"",""ร้อยเอ็ด!I426"")"),0)</f>
        <v>0</v>
      </c>
      <c r="J531" s="198">
        <f ca="1">IFERROR(__xludf.DUMMYFUNCTION("IMPORTRANGE(""https://docs.google.com/spreadsheets/d/1XL5vhW3sbDhbH9Cz0tuDiY8C3ctxq1tqvaCgkFb8cCA/edit?usp=sharing"",""ร้อยเอ็ด!J426"")"),0)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IFERROR(__xludf.DUMMYFUNCTION("IMPORTRANGE(""https://docs.google.com/spreadsheets/d/1XL5vhW3sbDhbH9Cz0tuDiY8C3ctxq1tqvaCgkFb8cCA/edit?usp=sharing"",""ร้อยเอ็ด!I427"")"),0)</f>
        <v>0</v>
      </c>
      <c r="J532" s="466">
        <f ca="1">IFERROR(__xludf.DUMMYFUNCTION("IMPORTRANGE(""https://docs.google.com/spreadsheets/d/1XL5vhW3sbDhbH9Cz0tuDiY8C3ctxq1tqvaCgkFb8cCA/edit?usp=sharing"",""ร้อยเอ็ด!J427"")"),0)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IFERROR(__xludf.DUMMYFUNCTION("IMPORTRANGE(""https://docs.google.com/spreadsheets/d/1XL5vhW3sbDhbH9Cz0tuDiY8C3ctxq1tqvaCgkFb8cCA/edit?usp=sharing"",""ร้อยเอ็ด!I428"")"),22)</f>
        <v>22</v>
      </c>
      <c r="J533" s="410">
        <f ca="1">IFERROR(__xludf.DUMMYFUNCTION("IMPORTRANGE(""https://docs.google.com/spreadsheets/d/1XL5vhW3sbDhbH9Cz0tuDiY8C3ctxq1tqvaCgkFb8cCA/edit?usp=sharing"",""ร้อยเอ็ด!J428"")"),22)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IFERROR(__xludf.DUMMYFUNCTION("IMPORTRANGE(""https://docs.google.com/spreadsheets/d/1XL5vhW3sbDhbH9Cz0tuDiY8C3ctxq1tqvaCgkFb8cCA/edit?usp=sharing"",""ร้อยเอ็ด!L428"")"),34340)</f>
        <v>34340</v>
      </c>
      <c r="M533" s="412"/>
      <c r="N533" s="412">
        <f ca="1">IFERROR(__xludf.DUMMYFUNCTION("IMPORTRANGE(""https://docs.google.com/spreadsheets/d/1XL5vhW3sbDhbH9Cz0tuDiY8C3ctxq1tqvaCgkFb8cCA/edit?usp=sharing"",""ร้อยเอ็ด!M428"")"),32300)</f>
        <v>32300</v>
      </c>
      <c r="O533" s="412">
        <f t="shared" ref="O533:O537" ca="1" si="118">+IF(L533&gt;0,N533*100/L533,0)</f>
        <v>94.059405940594061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IFERROR(__xludf.DUMMYFUNCTION("IMPORTRANGE(""https://docs.google.com/spreadsheets/d/1XL5vhW3sbDhbH9Cz0tuDiY8C3ctxq1tqvaCgkFb8cCA/edit?usp=sharing"",""ร้อยเอ็ด!L429"")"),0)</f>
        <v>0</v>
      </c>
      <c r="M534" s="164"/>
      <c r="N534" s="169">
        <f ca="1">IFERROR(__xludf.DUMMYFUNCTION("IMPORTRANGE(""https://docs.google.com/spreadsheets/d/1XL5vhW3sbDhbH9Cz0tuDiY8C3ctxq1tqvaCgkFb8cCA/edit?usp=sharing"",""ร้อยเอ็ด!M429"")"),0)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IFERROR(__xludf.DUMMYFUNCTION("IMPORTRANGE(""https://docs.google.com/spreadsheets/d/1XL5vhW3sbDhbH9Cz0tuDiY8C3ctxq1tqvaCgkFb8cCA/edit?usp=sharing"",""ร้อยเอ็ด!L430"")"),34340)</f>
        <v>34340</v>
      </c>
      <c r="M535" s="165"/>
      <c r="N535" s="169">
        <f ca="1">IFERROR(__xludf.DUMMYFUNCTION("IMPORTRANGE(""https://docs.google.com/spreadsheets/d/1XL5vhW3sbDhbH9Cz0tuDiY8C3ctxq1tqvaCgkFb8cCA/edit?usp=sharing"",""ร้อยเอ็ด!M430"")"),32300)</f>
        <v>32300</v>
      </c>
      <c r="O535" s="169">
        <f t="shared" ca="1" si="118"/>
        <v>94.059405940594061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IFERROR(__xludf.DUMMYFUNCTION("IMPORTRANGE(""https://docs.google.com/spreadsheets/d/1XL5vhW3sbDhbH9Cz0tuDiY8C3ctxq1tqvaCgkFb8cCA/edit?usp=sharing"",""ร้อยเอ็ด!L431"")"),0)</f>
        <v>0</v>
      </c>
      <c r="M536" s="169"/>
      <c r="N536" s="169">
        <f ca="1">IFERROR(__xludf.DUMMYFUNCTION("IMPORTRANGE(""https://docs.google.com/spreadsheets/d/1XL5vhW3sbDhbH9Cz0tuDiY8C3ctxq1tqvaCgkFb8cCA/edit?usp=sharing"",""ร้อยเอ็ด!M431"")"),0)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IFERROR(__xludf.DUMMYFUNCTION("IMPORTRANGE(""https://docs.google.com/spreadsheets/d/1XL5vhW3sbDhbH9Cz0tuDiY8C3ctxq1tqvaCgkFb8cCA/edit?usp=sharing"",""ร้อยเอ็ด!L432"")"),34340)</f>
        <v>34340</v>
      </c>
      <c r="M537" s="169"/>
      <c r="N537" s="169">
        <f ca="1">IFERROR(__xludf.DUMMYFUNCTION("IMPORTRANGE(""https://docs.google.com/spreadsheets/d/1XL5vhW3sbDhbH9Cz0tuDiY8C3ctxq1tqvaCgkFb8cCA/edit?usp=sharing"",""ร้อยเอ็ด!M432"")"),32300)</f>
        <v>32300</v>
      </c>
      <c r="O537" s="169">
        <f t="shared" ca="1" si="118"/>
        <v>94.059405940594061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IFERROR(__xludf.DUMMYFUNCTION("IMPORTRANGE(""https://docs.google.com/spreadsheets/d/1XL5vhW3sbDhbH9Cz0tuDiY8C3ctxq1tqvaCgkFb8cCA/edit?usp=sharing"",""ร้อยเอ็ด!M433"")"),18740)</f>
        <v>18740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IFERROR(__xludf.DUMMYFUNCTION("IMPORTRANGE(""https://docs.google.com/spreadsheets/d/1XL5vhW3sbDhbH9Cz0tuDiY8C3ctxq1tqvaCgkFb8cCA/edit?usp=sharing"",""ร้อยเอ็ด!M434"")"),0)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IFERROR(__xludf.DUMMYFUNCTION("IMPORTRANGE(""https://docs.google.com/spreadsheets/d/1XL5vhW3sbDhbH9Cz0tuDiY8C3ctxq1tqvaCgkFb8cCA/edit?usp=sharing"",""ร้อยเอ็ด!M435"")"),0)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IFERROR(__xludf.DUMMYFUNCTION("IMPORTRANGE(""https://docs.google.com/spreadsheets/d/1XL5vhW3sbDhbH9Cz0tuDiY8C3ctxq1tqvaCgkFb8cCA/edit?usp=sharing"",""ร้อยเอ็ด!M436"")"),13560)</f>
        <v>13560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IFERROR(__xludf.DUMMYFUNCTION("IMPORTRANGE(""https://docs.google.com/spreadsheets/d/1XL5vhW3sbDhbH9Cz0tuDiY8C3ctxq1tqvaCgkFb8cCA/edit?usp=sharing"",""ร้อยเอ็ด!J438"")"),0)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IFERROR(__xludf.DUMMYFUNCTION("IMPORTRANGE(""https://docs.google.com/spreadsheets/d/1XL5vhW3sbDhbH9Cz0tuDiY8C3ctxq1tqvaCgkFb8cCA/edit?usp=sharing"",""ร้อยเอ็ด!J439"")"),0)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IFERROR(__xludf.DUMMYFUNCTION("IMPORTRANGE(""https://docs.google.com/spreadsheets/d/1XL5vhW3sbDhbH9Cz0tuDiY8C3ctxq1tqvaCgkFb8cCA/edit?usp=sharing"",""ร้อยเอ็ด!J440"")"),1)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IFERROR(__xludf.DUMMYFUNCTION("IMPORTRANGE(""https://docs.google.com/spreadsheets/d/1XL5vhW3sbDhbH9Cz0tuDiY8C3ctxq1tqvaCgkFb8cCA/edit?usp=sharing"",""ร้อยเอ็ด!J441"")"),0)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IFERROR(__xludf.DUMMYFUNCTION("IMPORTRANGE(""https://docs.google.com/spreadsheets/d/1XL5vhW3sbDhbH9Cz0tuDiY8C3ctxq1tqvaCgkFb8cCA/edit?usp=sharing"",""ร้อยเอ็ด!I442"")"),22)</f>
        <v>22</v>
      </c>
      <c r="J547" s="189">
        <f ca="1">IFERROR(__xludf.DUMMYFUNCTION("IMPORTRANGE(""https://docs.google.com/spreadsheets/d/1XL5vhW3sbDhbH9Cz0tuDiY8C3ctxq1tqvaCgkFb8cCA/edit?usp=sharing"",""ร้อยเอ็ด!J442"")"),22)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IFERROR(__xludf.DUMMYFUNCTION("IMPORTRANGE(""https://docs.google.com/spreadsheets/d/1XL5vhW3sbDhbH9Cz0tuDiY8C3ctxq1tqvaCgkFb8cCA/edit?usp=sharing"",""ร้อยเอ็ด!J166"")"),0)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IFERROR(__xludf.DUMMYFUNCTION("IMPORTRANGE(""https://docs.google.com/spreadsheets/d/1XL5vhW3sbDhbH9Cz0tuDiY8C3ctxq1tqvaCgkFb8cCA/edit?usp=sharing"",""ร้อยเอ็ด!J444"")"),1)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IFERROR(__xludf.DUMMYFUNCTION("IMPORTRANGE(""https://docs.google.com/spreadsheets/d/1XL5vhW3sbDhbH9Cz0tuDiY8C3ctxq1tqvaCgkFb8cCA/edit?usp=sharing"",""ร้อยเอ็ด!J445"")"),1)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IFERROR(__xludf.DUMMYFUNCTION("IMPORTRANGE(""https://docs.google.com/spreadsheets/d/1XL5vhW3sbDhbH9Cz0tuDiY8C3ctxq1tqvaCgkFb8cCA/edit?usp=sharing"",""ร้อยเอ็ด!I446"")"),0)</f>
        <v>0</v>
      </c>
      <c r="J551" s="410">
        <f ca="1">IFERROR(__xludf.DUMMYFUNCTION("IMPORTRANGE(""https://docs.google.com/spreadsheets/d/1XL5vhW3sbDhbH9Cz0tuDiY8C3ctxq1tqvaCgkFb8cCA/edit?usp=sharing"",""ร้อยเอ็ด!J446"")"),0)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IFERROR(__xludf.DUMMYFUNCTION("IMPORTRANGE(""https://docs.google.com/spreadsheets/d/1XL5vhW3sbDhbH9Cz0tuDiY8C3ctxq1tqvaCgkFb8cCA/edit?usp=sharing"",""ร้อยเอ็ด!L446"")"),0)</f>
        <v>0</v>
      </c>
      <c r="M551" s="412"/>
      <c r="N551" s="412">
        <f ca="1">IFERROR(__xludf.DUMMYFUNCTION("IMPORTRANGE(""https://docs.google.com/spreadsheets/d/1XL5vhW3sbDhbH9Cz0tuDiY8C3ctxq1tqvaCgkFb8cCA/edit?usp=sharing"",""ร้อยเอ็ด!M446"")"),0)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IFERROR(__xludf.DUMMYFUNCTION("IMPORTRANGE(""https://docs.google.com/spreadsheets/d/1XL5vhW3sbDhbH9Cz0tuDiY8C3ctxq1tqvaCgkFb8cCA/edit?usp=sharing"",""ร้อยเอ็ด!L447"")"),0)</f>
        <v>0</v>
      </c>
      <c r="M552" s="164"/>
      <c r="N552" s="169">
        <f ca="1">IFERROR(__xludf.DUMMYFUNCTION("IMPORTRANGE(""https://docs.google.com/spreadsheets/d/1XL5vhW3sbDhbH9Cz0tuDiY8C3ctxq1tqvaCgkFb8cCA/edit?usp=sharing"",""ร้อยเอ็ด!M447"")"),0)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IFERROR(__xludf.DUMMYFUNCTION("IMPORTRANGE(""https://docs.google.com/spreadsheets/d/1XL5vhW3sbDhbH9Cz0tuDiY8C3ctxq1tqvaCgkFb8cCA/edit?usp=sharing"",""ร้อยเอ็ด!L448"")"),0)</f>
        <v>0</v>
      </c>
      <c r="M553" s="165"/>
      <c r="N553" s="169">
        <f ca="1">IFERROR(__xludf.DUMMYFUNCTION("IMPORTRANGE(""https://docs.google.com/spreadsheets/d/1XL5vhW3sbDhbH9Cz0tuDiY8C3ctxq1tqvaCgkFb8cCA/edit?usp=sharing"",""ร้อยเอ็ด!M448"")"),0)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IFERROR(__xludf.DUMMYFUNCTION("IMPORTRANGE(""https://docs.google.com/spreadsheets/d/1XL5vhW3sbDhbH9Cz0tuDiY8C3ctxq1tqvaCgkFb8cCA/edit?usp=sharing"",""ร้อยเอ็ด!L449"")"),0)</f>
        <v>0</v>
      </c>
      <c r="M554" s="169"/>
      <c r="N554" s="169">
        <f ca="1">IFERROR(__xludf.DUMMYFUNCTION("IMPORTRANGE(""https://docs.google.com/spreadsheets/d/1XL5vhW3sbDhbH9Cz0tuDiY8C3ctxq1tqvaCgkFb8cCA/edit?usp=sharing"",""ร้อยเอ็ด!M449"")"),0)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IFERROR(__xludf.DUMMYFUNCTION("IMPORTRANGE(""https://docs.google.com/spreadsheets/d/1XL5vhW3sbDhbH9Cz0tuDiY8C3ctxq1tqvaCgkFb8cCA/edit?usp=sharing"",""ร้อยเอ็ด!L450"")"),0)</f>
        <v>0</v>
      </c>
      <c r="M555" s="169"/>
      <c r="N555" s="169">
        <f ca="1">IFERROR(__xludf.DUMMYFUNCTION("IMPORTRANGE(""https://docs.google.com/spreadsheets/d/1XL5vhW3sbDhbH9Cz0tuDiY8C3ctxq1tqvaCgkFb8cCA/edit?usp=sharing"",""ร้อยเอ็ด!M450"")"),0)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IFERROR(__xludf.DUMMYFUNCTION("IMPORTRANGE(""https://docs.google.com/spreadsheets/d/1XL5vhW3sbDhbH9Cz0tuDiY8C3ctxq1tqvaCgkFb8cCA/edit?usp=sharing"",""ร้อยเอ็ด!M451"")"),0)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IFERROR(__xludf.DUMMYFUNCTION("IMPORTRANGE(""https://docs.google.com/spreadsheets/d/1XL5vhW3sbDhbH9Cz0tuDiY8C3ctxq1tqvaCgkFb8cCA/edit?usp=sharing"",""ร้อยเอ็ด!M452"")"),0)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IFERROR(__xludf.DUMMYFUNCTION("IMPORTRANGE(""https://docs.google.com/spreadsheets/d/1XL5vhW3sbDhbH9Cz0tuDiY8C3ctxq1tqvaCgkFb8cCA/edit?usp=sharing"",""ร้อยเอ็ด!M453"")"),0)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IFERROR(__xludf.DUMMYFUNCTION("IMPORTRANGE(""https://docs.google.com/spreadsheets/d/1XL5vhW3sbDhbH9Cz0tuDiY8C3ctxq1tqvaCgkFb8cCA/edit?usp=sharing"",""ร้อยเอ็ด!M454"")"),0)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IFERROR(__xludf.DUMMYFUNCTION("IMPORTRANGE(""https://docs.google.com/spreadsheets/d/1XL5vhW3sbDhbH9Cz0tuDiY8C3ctxq1tqvaCgkFb8cCA/edit?usp=sharing"",""ร้อยเอ็ด!I455"")"),0)</f>
        <v>0</v>
      </c>
      <c r="J560" s="162">
        <f ca="1">IFERROR(__xludf.DUMMYFUNCTION("IMPORTRANGE(""https://docs.google.com/spreadsheets/d/1XL5vhW3sbDhbH9Cz0tuDiY8C3ctxq1tqvaCgkFb8cCA/edit?usp=sharing"",""ร้อยเอ็ด!J455"")"),0)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IFERROR(__xludf.DUMMYFUNCTION("IMPORTRANGE(""https://docs.google.com/spreadsheets/d/1XL5vhW3sbDhbH9Cz0tuDiY8C3ctxq1tqvaCgkFb8cCA/edit?usp=sharing"",""ร้อยเอ็ด!I456"")"),0)</f>
        <v>0</v>
      </c>
      <c r="J561" s="204">
        <f ca="1">IFERROR(__xludf.DUMMYFUNCTION("IMPORTRANGE(""https://docs.google.com/spreadsheets/d/1XL5vhW3sbDhbH9Cz0tuDiY8C3ctxq1tqvaCgkFb8cCA/edit?usp=sharing"",""ร้อยเอ็ด!J456"")"),0)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IFERROR(__xludf.DUMMYFUNCTION("IMPORTRANGE(""https://docs.google.com/spreadsheets/d/1XL5vhW3sbDhbH9Cz0tuDiY8C3ctxq1tqvaCgkFb8cCA/edit?usp=sharing"",""ร้อยเอ็ด!I459"")"),2800)</f>
        <v>2800</v>
      </c>
      <c r="J564" s="371">
        <f ca="1">IFERROR(__xludf.DUMMYFUNCTION("IMPORTRANGE(""https://docs.google.com/spreadsheets/d/1XL5vhW3sbDhbH9Cz0tuDiY8C3ctxq1tqvaCgkFb8cCA/edit?usp=sharing"",""ร้อยเอ็ด!J459"")"),4562)</f>
        <v>4562</v>
      </c>
      <c r="K564" s="372">
        <f ca="1">IF(I564&gt;0,J564*100/I564,0)</f>
        <v>162.92857142857142</v>
      </c>
      <c r="L564" s="373">
        <f ca="1">IFERROR(__xludf.DUMMYFUNCTION("IMPORTRANGE(""https://docs.google.com/spreadsheets/d/1XL5vhW3sbDhbH9Cz0tuDiY8C3ctxq1tqvaCgkFb8cCA/edit?usp=sharing"",""ร้อยเอ็ด!L459"")"),143040)</f>
        <v>143040</v>
      </c>
      <c r="M564" s="373"/>
      <c r="N564" s="373">
        <f ca="1">IFERROR(__xludf.DUMMYFUNCTION("IMPORTRANGE(""https://docs.google.com/spreadsheets/d/1XL5vhW3sbDhbH9Cz0tuDiY8C3ctxq1tqvaCgkFb8cCA/edit?usp=sharing"",""ร้อยเอ็ด!M459"")"),94941.16)</f>
        <v>94941.16</v>
      </c>
      <c r="O564" s="373">
        <f t="shared" ref="O564:O568" ca="1" si="122">+IF(L564&gt;0,N564*100/L564,0)</f>
        <v>66.373853467561517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IFERROR(__xludf.DUMMYFUNCTION("IMPORTRANGE(""https://docs.google.com/spreadsheets/d/1XL5vhW3sbDhbH9Cz0tuDiY8C3ctxq1tqvaCgkFb8cCA/edit?usp=sharing"",""ร้อยเอ็ด!L460"")"),0)</f>
        <v>0</v>
      </c>
      <c r="M565" s="164"/>
      <c r="N565" s="169">
        <f ca="1">IFERROR(__xludf.DUMMYFUNCTION("IMPORTRANGE(""https://docs.google.com/spreadsheets/d/1XL5vhW3sbDhbH9Cz0tuDiY8C3ctxq1tqvaCgkFb8cCA/edit?usp=sharing"",""ร้อยเอ็ด!M460"")"),0)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IFERROR(__xludf.DUMMYFUNCTION("IMPORTRANGE(""https://docs.google.com/spreadsheets/d/1XL5vhW3sbDhbH9Cz0tuDiY8C3ctxq1tqvaCgkFb8cCA/edit?usp=sharing"",""ร้อยเอ็ด!L461"")"),143040)</f>
        <v>143040</v>
      </c>
      <c r="M566" s="165"/>
      <c r="N566" s="169">
        <f ca="1">IFERROR(__xludf.DUMMYFUNCTION("IMPORTRANGE(""https://docs.google.com/spreadsheets/d/1XL5vhW3sbDhbH9Cz0tuDiY8C3ctxq1tqvaCgkFb8cCA/edit?usp=sharing"",""ร้อยเอ็ด!M461"")"),94941.16)</f>
        <v>94941.16</v>
      </c>
      <c r="O566" s="169">
        <f t="shared" ca="1" si="122"/>
        <v>66.373853467561517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IFERROR(__xludf.DUMMYFUNCTION("IMPORTRANGE(""https://docs.google.com/spreadsheets/d/1XL5vhW3sbDhbH9Cz0tuDiY8C3ctxq1tqvaCgkFb8cCA/edit?usp=sharing"",""ร้อยเอ็ด!L462"")"),0)</f>
        <v>0</v>
      </c>
      <c r="M567" s="169"/>
      <c r="N567" s="169">
        <f ca="1">IFERROR(__xludf.DUMMYFUNCTION("IMPORTRANGE(""https://docs.google.com/spreadsheets/d/1XL5vhW3sbDhbH9Cz0tuDiY8C3ctxq1tqvaCgkFb8cCA/edit?usp=sharing"",""ร้อยเอ็ด!M462"")"),0)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IFERROR(__xludf.DUMMYFUNCTION("IMPORTRANGE(""https://docs.google.com/spreadsheets/d/1XL5vhW3sbDhbH9Cz0tuDiY8C3ctxq1tqvaCgkFb8cCA/edit?usp=sharing"",""ร้อยเอ็ด!L463"")"),143040)</f>
        <v>143040</v>
      </c>
      <c r="M568" s="169"/>
      <c r="N568" s="169">
        <f ca="1">IFERROR(__xludf.DUMMYFUNCTION("IMPORTRANGE(""https://docs.google.com/spreadsheets/d/1XL5vhW3sbDhbH9Cz0tuDiY8C3ctxq1tqvaCgkFb8cCA/edit?usp=sharing"",""ร้อยเอ็ด!M463"")"),94941.16)</f>
        <v>94941.16</v>
      </c>
      <c r="O568" s="169">
        <f t="shared" ca="1" si="122"/>
        <v>66.373853467561517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IFERROR(__xludf.DUMMYFUNCTION("IMPORTRANGE(""https://docs.google.com/spreadsheets/d/1XL5vhW3sbDhbH9Cz0tuDiY8C3ctxq1tqvaCgkFb8cCA/edit?usp=sharing"",""ร้อยเอ็ด!M464"")"),0)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IFERROR(__xludf.DUMMYFUNCTION("IMPORTRANGE(""https://docs.google.com/spreadsheets/d/1XL5vhW3sbDhbH9Cz0tuDiY8C3ctxq1tqvaCgkFb8cCA/edit?usp=sharing"",""ร้อยเอ็ด!M465"")"),0)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IFERROR(__xludf.DUMMYFUNCTION("IMPORTRANGE(""https://docs.google.com/spreadsheets/d/1XL5vhW3sbDhbH9Cz0tuDiY8C3ctxq1tqvaCgkFb8cCA/edit?usp=sharing"",""ร้อยเอ็ด!M466"")"),63516.16)</f>
        <v>63516.160000000003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IFERROR(__xludf.DUMMYFUNCTION("IMPORTRANGE(""https://docs.google.com/spreadsheets/d/1XL5vhW3sbDhbH9Cz0tuDiY8C3ctxq1tqvaCgkFb8cCA/edit?usp=sharing"",""ร้อยเอ็ด!M467"")"),31425)</f>
        <v>31425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IFERROR(__xludf.DUMMYFUNCTION("IMPORTRANGE(""https://docs.google.com/spreadsheets/d/1XL5vhW3sbDhbH9Cz0tuDiY8C3ctxq1tqvaCgkFb8cCA/edit?usp=sharing"",""ร้อยเอ็ด!I468"")"),2800)</f>
        <v>2800</v>
      </c>
      <c r="J573" s="420">
        <f ca="1">IFERROR(__xludf.DUMMYFUNCTION("IMPORTRANGE(""https://docs.google.com/spreadsheets/d/1XL5vhW3sbDhbH9Cz0tuDiY8C3ctxq1tqvaCgkFb8cCA/edit?usp=sharing"",""ร้อยเอ็ด!J468"")"),4562)</f>
        <v>4562</v>
      </c>
      <c r="K573" s="202">
        <f ca="1">IF(I573&gt;0,J573*100/I573,0)</f>
        <v>162.92857142857142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IFERROR(__xludf.DUMMYFUNCTION("IMPORTRANGE(""https://docs.google.com/spreadsheets/d/1XL5vhW3sbDhbH9Cz0tuDiY8C3ctxq1tqvaCgkFb8cCA/edit?usp=sharing"",""ร้อยเอ็ด!I470"")"),0)</f>
        <v>0</v>
      </c>
      <c r="J575" s="198">
        <f ca="1">IFERROR(__xludf.DUMMYFUNCTION("IMPORTRANGE(""https://docs.google.com/spreadsheets/d/1XL5vhW3sbDhbH9Cz0tuDiY8C3ctxq1tqvaCgkFb8cCA/edit?usp=sharing"",""ร้อยเอ็ด!J470"")"),4)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IFERROR(__xludf.DUMMYFUNCTION("IMPORTRANGE(""https://docs.google.com/spreadsheets/d/1XL5vhW3sbDhbH9Cz0tuDiY8C3ctxq1tqvaCgkFb8cCA/edit?usp=sharing"",""ร้อยเอ็ด!I471"")"),0)</f>
        <v>0</v>
      </c>
      <c r="J576" s="198">
        <f ca="1">IFERROR(__xludf.DUMMYFUNCTION("IMPORTRANGE(""https://docs.google.com/spreadsheets/d/1XL5vhW3sbDhbH9Cz0tuDiY8C3ctxq1tqvaCgkFb8cCA/edit?usp=sharing"",""ร้อยเอ็ด!J471"")"),200)</f>
        <v>200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IFERROR(__xludf.DUMMYFUNCTION("IMPORTRANGE(""https://docs.google.com/spreadsheets/d/1XL5vhW3sbDhbH9Cz0tuDiY8C3ctxq1tqvaCgkFb8cCA/edit?usp=sharing"",""ร้อยเอ็ด!I472"")"),0)</f>
        <v>0</v>
      </c>
      <c r="J577" s="189">
        <f ca="1">IFERROR(__xludf.DUMMYFUNCTION("IMPORTRANGE(""https://docs.google.com/spreadsheets/d/1XL5vhW3sbDhbH9Cz0tuDiY8C3ctxq1tqvaCgkFb8cCA/edit?usp=sharing"",""ร้อยเอ็ด!J472"")"),4152)</f>
        <v>4152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IFERROR(__xludf.DUMMYFUNCTION("IMPORTRANGE(""https://docs.google.com/spreadsheets/d/1XL5vhW3sbDhbH9Cz0tuDiY8C3ctxq1tqvaCgkFb8cCA/edit?usp=sharing"",""ร้อยเอ็ด!I473"")"),0)</f>
        <v>0</v>
      </c>
      <c r="J578" s="198">
        <f ca="1">IFERROR(__xludf.DUMMYFUNCTION("IMPORTRANGE(""https://docs.google.com/spreadsheets/d/1XL5vhW3sbDhbH9Cz0tuDiY8C3ctxq1tqvaCgkFb8cCA/edit?usp=sharing"",""ร้อยเอ็ด!J473"")"),10)</f>
        <v>10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IFERROR(__xludf.DUMMYFUNCTION("IMPORTRANGE(""https://docs.google.com/spreadsheets/d/1XL5vhW3sbDhbH9Cz0tuDiY8C3ctxq1tqvaCgkFb8cCA/edit?usp=sharing"",""ร้อยเอ็ด!I474"")"),0)</f>
        <v>0</v>
      </c>
      <c r="J579" s="198">
        <f ca="1">IFERROR(__xludf.DUMMYFUNCTION("IMPORTRANGE(""https://docs.google.com/spreadsheets/d/1XL5vhW3sbDhbH9Cz0tuDiY8C3ctxq1tqvaCgkFb8cCA/edit?usp=sharing"",""ร้อยเอ็ด!J474"")"),200)</f>
        <v>200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IFERROR(__xludf.DUMMYFUNCTION("IMPORTRANGE(""https://docs.google.com/spreadsheets/d/1XL5vhW3sbDhbH9Cz0tuDiY8C3ctxq1tqvaCgkFb8cCA/edit?usp=sharing"",""ร้อยเอ็ด!I475"")"),120)</f>
        <v>120</v>
      </c>
      <c r="J580" s="371">
        <f ca="1">IFERROR(__xludf.DUMMYFUNCTION("IMPORTRANGE(""https://docs.google.com/spreadsheets/d/1XL5vhW3sbDhbH9Cz0tuDiY8C3ctxq1tqvaCgkFb8cCA/edit?usp=sharing"",""ร้อยเอ็ด!J475"")"),0)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IFERROR(__xludf.DUMMYFUNCTION("IMPORTRANGE(""https://docs.google.com/spreadsheets/d/1XL5vhW3sbDhbH9Cz0tuDiY8C3ctxq1tqvaCgkFb8cCA/edit?usp=sharing"",""ร้อยเอ็ด!L475"")"),297420)</f>
        <v>297420</v>
      </c>
      <c r="M580" s="373"/>
      <c r="N580" s="373">
        <f ca="1">IFERROR(__xludf.DUMMYFUNCTION("IMPORTRANGE(""https://docs.google.com/spreadsheets/d/1XL5vhW3sbDhbH9Cz0tuDiY8C3ctxq1tqvaCgkFb8cCA/edit?usp=sharing"",""ร้อยเอ็ด!M475"")"),72240.41)</f>
        <v>72240.41</v>
      </c>
      <c r="O580" s="373">
        <f t="shared" ref="O580:O584" ca="1" si="124">+IF(L580&gt;0,N580*100/L580,0)</f>
        <v>24.289022258086209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IFERROR(__xludf.DUMMYFUNCTION("IMPORTRANGE(""https://docs.google.com/spreadsheets/d/1XL5vhW3sbDhbH9Cz0tuDiY8C3ctxq1tqvaCgkFb8cCA/edit?usp=sharing"",""ร้อยเอ็ด!L476"")"),0)</f>
        <v>0</v>
      </c>
      <c r="M581" s="164"/>
      <c r="N581" s="169">
        <f ca="1">IFERROR(__xludf.DUMMYFUNCTION("IMPORTRANGE(""https://docs.google.com/spreadsheets/d/1XL5vhW3sbDhbH9Cz0tuDiY8C3ctxq1tqvaCgkFb8cCA/edit?usp=sharing"",""ร้อยเอ็ด!M476"")"),0)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IFERROR(__xludf.DUMMYFUNCTION("IMPORTRANGE(""https://docs.google.com/spreadsheets/d/1XL5vhW3sbDhbH9Cz0tuDiY8C3ctxq1tqvaCgkFb8cCA/edit?usp=sharing"",""ร้อยเอ็ด!L477"")"),297420)</f>
        <v>297420</v>
      </c>
      <c r="M582" s="165"/>
      <c r="N582" s="169">
        <f ca="1">IFERROR(__xludf.DUMMYFUNCTION("IMPORTRANGE(""https://docs.google.com/spreadsheets/d/1XL5vhW3sbDhbH9Cz0tuDiY8C3ctxq1tqvaCgkFb8cCA/edit?usp=sharing"",""ร้อยเอ็ด!M477"")"),72240.41)</f>
        <v>72240.41</v>
      </c>
      <c r="O582" s="169">
        <f t="shared" ca="1" si="124"/>
        <v>24.289022258086209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IFERROR(__xludf.DUMMYFUNCTION("IMPORTRANGE(""https://docs.google.com/spreadsheets/d/1XL5vhW3sbDhbH9Cz0tuDiY8C3ctxq1tqvaCgkFb8cCA/edit?usp=sharing"",""ร้อยเอ็ด!L478"")"),0)</f>
        <v>0</v>
      </c>
      <c r="M583" s="169"/>
      <c r="N583" s="169">
        <f ca="1">IFERROR(__xludf.DUMMYFUNCTION("IMPORTRANGE(""https://docs.google.com/spreadsheets/d/1XL5vhW3sbDhbH9Cz0tuDiY8C3ctxq1tqvaCgkFb8cCA/edit?usp=sharing"",""ร้อยเอ็ด!M478"")"),0)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IFERROR(__xludf.DUMMYFUNCTION("IMPORTRANGE(""https://docs.google.com/spreadsheets/d/1XL5vhW3sbDhbH9Cz0tuDiY8C3ctxq1tqvaCgkFb8cCA/edit?usp=sharing"",""ร้อยเอ็ด!L479"")"),297420)</f>
        <v>297420</v>
      </c>
      <c r="M584" s="169"/>
      <c r="N584" s="169">
        <f ca="1">IFERROR(__xludf.DUMMYFUNCTION("IMPORTRANGE(""https://docs.google.com/spreadsheets/d/1XL5vhW3sbDhbH9Cz0tuDiY8C3ctxq1tqvaCgkFb8cCA/edit?usp=sharing"",""ร้อยเอ็ด!M479"")"),72240.41)</f>
        <v>72240.41</v>
      </c>
      <c r="O584" s="169">
        <f t="shared" ca="1" si="124"/>
        <v>24.289022258086209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IFERROR(__xludf.DUMMYFUNCTION("IMPORTRANGE(""https://docs.google.com/spreadsheets/d/1XL5vhW3sbDhbH9Cz0tuDiY8C3ctxq1tqvaCgkFb8cCA/edit?usp=sharing"",""ร้อยเอ็ด!M480"")"),0)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IFERROR(__xludf.DUMMYFUNCTION("IMPORTRANGE(""https://docs.google.com/spreadsheets/d/1XL5vhW3sbDhbH9Cz0tuDiY8C3ctxq1tqvaCgkFb8cCA/edit?usp=sharing"",""ร้อยเอ็ด!M481"")"),0)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IFERROR(__xludf.DUMMYFUNCTION("IMPORTRANGE(""https://docs.google.com/spreadsheets/d/1XL5vhW3sbDhbH9Cz0tuDiY8C3ctxq1tqvaCgkFb8cCA/edit?usp=sharing"",""ร้อยเอ็ด!M482"")"),31580.41)</f>
        <v>31580.41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IFERROR(__xludf.DUMMYFUNCTION("IMPORTRANGE(""https://docs.google.com/spreadsheets/d/1XL5vhW3sbDhbH9Cz0tuDiY8C3ctxq1tqvaCgkFb8cCA/edit?usp=sharing"",""ร้อยเอ็ด!M483"")"),40660)</f>
        <v>40660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IFERROR(__xludf.DUMMYFUNCTION("IMPORTRANGE(""https://docs.google.com/spreadsheets/d/1XL5vhW3sbDhbH9Cz0tuDiY8C3ctxq1tqvaCgkFb8cCA/edit?usp=sharing"",""ร้อยเอ็ด!I484"")"),120)</f>
        <v>120</v>
      </c>
      <c r="J589" s="188">
        <f ca="1">IFERROR(__xludf.DUMMYFUNCTION("IMPORTRANGE(""https://docs.google.com/spreadsheets/d/1XL5vhW3sbDhbH9Cz0tuDiY8C3ctxq1tqvaCgkFb8cCA/edit?usp=sharing"",""ร้อยเอ็ด!J484"")"),108)</f>
        <v>108</v>
      </c>
      <c r="K589" s="163">
        <f t="shared" ref="K589:K596" ca="1" si="125">IF(I589&gt;0,J589*100/I589,0)</f>
        <v>90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IFERROR(__xludf.DUMMYFUNCTION("IMPORTRANGE(""https://docs.google.com/spreadsheets/d/1XL5vhW3sbDhbH9Cz0tuDiY8C3ctxq1tqvaCgkFb8cCA/edit?usp=sharing"",""ร้อยเอ็ด!I485"")"),0)</f>
        <v>0</v>
      </c>
      <c r="J590" s="188">
        <f ca="1">IFERROR(__xludf.DUMMYFUNCTION("IMPORTRANGE(""https://docs.google.com/spreadsheets/d/1XL5vhW3sbDhbH9Cz0tuDiY8C3ctxq1tqvaCgkFb8cCA/edit?usp=sharing"",""ร้อยเอ็ด!J485"")"),58.39)</f>
        <v>58.39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IFERROR(__xludf.DUMMYFUNCTION("IMPORTRANGE(""https://docs.google.com/spreadsheets/d/1XL5vhW3sbDhbH9Cz0tuDiY8C3ctxq1tqvaCgkFb8cCA/edit?usp=sharing"",""ร้อยเอ็ด!I486"")"),120)</f>
        <v>120</v>
      </c>
      <c r="J591" s="188">
        <f ca="1">IFERROR(__xludf.DUMMYFUNCTION("IMPORTRANGE(""https://docs.google.com/spreadsheets/d/1XL5vhW3sbDhbH9Cz0tuDiY8C3ctxq1tqvaCgkFb8cCA/edit?usp=sharing"",""ร้อยเอ็ด!J486"")"),102)</f>
        <v>102</v>
      </c>
      <c r="K591" s="163">
        <f t="shared" ca="1" si="125"/>
        <v>85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IFERROR(__xludf.DUMMYFUNCTION("IMPORTRANGE(""https://docs.google.com/spreadsheets/d/1XL5vhW3sbDhbH9Cz0tuDiY8C3ctxq1tqvaCgkFb8cCA/edit?usp=sharing"",""ร้อยเอ็ด!I487"")"),0)</f>
        <v>0</v>
      </c>
      <c r="J592" s="188">
        <f ca="1">IFERROR(__xludf.DUMMYFUNCTION("IMPORTRANGE(""https://docs.google.com/spreadsheets/d/1XL5vhW3sbDhbH9Cz0tuDiY8C3ctxq1tqvaCgkFb8cCA/edit?usp=sharing"",""ร้อยเอ็ด!J487"")"),58.98)</f>
        <v>58.98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IFERROR(__xludf.DUMMYFUNCTION("IMPORTRANGE(""https://docs.google.com/spreadsheets/d/1XL5vhW3sbDhbH9Cz0tuDiY8C3ctxq1tqvaCgkFb8cCA/edit?usp=sharing"",""ร้อยเอ็ด!I488"")"),120)</f>
        <v>120</v>
      </c>
      <c r="J593" s="188">
        <f ca="1">IFERROR(__xludf.DUMMYFUNCTION("IMPORTRANGE(""https://docs.google.com/spreadsheets/d/1XL5vhW3sbDhbH9Cz0tuDiY8C3ctxq1tqvaCgkFb8cCA/edit?usp=sharing"",""ร้อยเอ็ด!J488"")"),82)</f>
        <v>82</v>
      </c>
      <c r="K593" s="163">
        <f t="shared" ca="1" si="125"/>
        <v>68.333333333333329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IFERROR(__xludf.DUMMYFUNCTION("IMPORTRANGE(""https://docs.google.com/spreadsheets/d/1XL5vhW3sbDhbH9Cz0tuDiY8C3ctxq1tqvaCgkFb8cCA/edit?usp=sharing"",""ร้อยเอ็ด!I489"")"),0)</f>
        <v>0</v>
      </c>
      <c r="J594" s="188">
        <f ca="1">IFERROR(__xludf.DUMMYFUNCTION("IMPORTRANGE(""https://docs.google.com/spreadsheets/d/1XL5vhW3sbDhbH9Cz0tuDiY8C3ctxq1tqvaCgkFb8cCA/edit?usp=sharing"",""ร้อยเอ็ด!J489"")"),47.09)</f>
        <v>47.09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IFERROR(__xludf.DUMMYFUNCTION("IMPORTRANGE(""https://docs.google.com/spreadsheets/d/1XL5vhW3sbDhbH9Cz0tuDiY8C3ctxq1tqvaCgkFb8cCA/edit?usp=sharing"",""ร้อยเอ็ด!I490"")"),120)</f>
        <v>120</v>
      </c>
      <c r="J595" s="188">
        <f ca="1">IFERROR(__xludf.DUMMYFUNCTION("IMPORTRANGE(""https://docs.google.com/spreadsheets/d/1XL5vhW3sbDhbH9Cz0tuDiY8C3ctxq1tqvaCgkFb8cCA/edit?usp=sharing"",""ร้อยเอ็ด!J490"")"),0)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IFERROR(__xludf.DUMMYFUNCTION("IMPORTRANGE(""https://docs.google.com/spreadsheets/d/1XL5vhW3sbDhbH9Cz0tuDiY8C3ctxq1tqvaCgkFb8cCA/edit?usp=sharing"",""ร้อยเอ็ด!I491"")"),0)</f>
        <v>0</v>
      </c>
      <c r="J596" s="241">
        <f ca="1">IFERROR(__xludf.DUMMYFUNCTION("IMPORTRANGE(""https://docs.google.com/spreadsheets/d/1XL5vhW3sbDhbH9Cz0tuDiY8C3ctxq1tqvaCgkFb8cCA/edit?usp=sharing"",""ร้อยเอ็ด!J491"")"),0)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IFERROR(__xludf.DUMMYFUNCTION("IMPORTRANGE(""https://docs.google.com/spreadsheets/d/1XL5vhW3sbDhbH9Cz0tuDiY8C3ctxq1tqvaCgkFb8cCA/edit?usp=sharing"",""ร้อยเอ็ด!I492"")"),100)</f>
        <v>100</v>
      </c>
      <c r="J597" s="487">
        <f ca="1">IFERROR(__xludf.DUMMYFUNCTION("IMPORTRANGE(""https://docs.google.com/spreadsheets/d/1XL5vhW3sbDhbH9Cz0tuDiY8C3ctxq1tqvaCgkFb8cCA/edit?usp=sharing"",""ร้อยเอ็ด!J492"")"),0)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IFERROR(__xludf.DUMMYFUNCTION("IMPORTRANGE(""https://docs.google.com/spreadsheets/d/1XL5vhW3sbDhbH9Cz0tuDiY8C3ctxq1tqvaCgkFb8cCA/edit?usp=sharing"",""ร้อยเอ็ด!L492"")"),7300)</f>
        <v>7300</v>
      </c>
      <c r="M597" s="412"/>
      <c r="N597" s="412">
        <f ca="1">IFERROR(__xludf.DUMMYFUNCTION("IMPORTRANGE(""https://docs.google.com/spreadsheets/d/1XL5vhW3sbDhbH9Cz0tuDiY8C3ctxq1tqvaCgkFb8cCA/edit?usp=sharing"",""ร้อยเอ็ด!M492"")"),1300)</f>
        <v>1300</v>
      </c>
      <c r="O597" s="412">
        <f t="shared" ref="O597:O601" ca="1" si="126">+IF(L597&gt;0,N597*100/L597,0)</f>
        <v>17.80821917808219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IFERROR(__xludf.DUMMYFUNCTION("IMPORTRANGE(""https://docs.google.com/spreadsheets/d/1XL5vhW3sbDhbH9Cz0tuDiY8C3ctxq1tqvaCgkFb8cCA/edit?usp=sharing"",""ร้อยเอ็ด!L493"")"),0)</f>
        <v>0</v>
      </c>
      <c r="M598" s="164"/>
      <c r="N598" s="169">
        <f ca="1">IFERROR(__xludf.DUMMYFUNCTION("IMPORTRANGE(""https://docs.google.com/spreadsheets/d/1XL5vhW3sbDhbH9Cz0tuDiY8C3ctxq1tqvaCgkFb8cCA/edit?usp=sharing"",""ร้อยเอ็ด!M493"")"),0)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IFERROR(__xludf.DUMMYFUNCTION("IMPORTRANGE(""https://docs.google.com/spreadsheets/d/1XL5vhW3sbDhbH9Cz0tuDiY8C3ctxq1tqvaCgkFb8cCA/edit?usp=sharing"",""ร้อยเอ็ด!L494"")"),7300)</f>
        <v>7300</v>
      </c>
      <c r="M599" s="165"/>
      <c r="N599" s="169">
        <f ca="1">IFERROR(__xludf.DUMMYFUNCTION("IMPORTRANGE(""https://docs.google.com/spreadsheets/d/1XL5vhW3sbDhbH9Cz0tuDiY8C3ctxq1tqvaCgkFb8cCA/edit?usp=sharing"",""ร้อยเอ็ด!M494"")"),1300)</f>
        <v>1300</v>
      </c>
      <c r="O599" s="169">
        <f t="shared" ca="1" si="126"/>
        <v>17.80821917808219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IFERROR(__xludf.DUMMYFUNCTION("IMPORTRANGE(""https://docs.google.com/spreadsheets/d/1XL5vhW3sbDhbH9Cz0tuDiY8C3ctxq1tqvaCgkFb8cCA/edit?usp=sharing"",""ร้อยเอ็ด!L495"")"),0)</f>
        <v>0</v>
      </c>
      <c r="M600" s="169"/>
      <c r="N600" s="169">
        <f ca="1">IFERROR(__xludf.DUMMYFUNCTION("IMPORTRANGE(""https://docs.google.com/spreadsheets/d/1XL5vhW3sbDhbH9Cz0tuDiY8C3ctxq1tqvaCgkFb8cCA/edit?usp=sharing"",""ร้อยเอ็ด!M495"")"),0)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IFERROR(__xludf.DUMMYFUNCTION("IMPORTRANGE(""https://docs.google.com/spreadsheets/d/1XL5vhW3sbDhbH9Cz0tuDiY8C3ctxq1tqvaCgkFb8cCA/edit?usp=sharing"",""ร้อยเอ็ด!L496"")"),7300)</f>
        <v>7300</v>
      </c>
      <c r="M601" s="169"/>
      <c r="N601" s="169">
        <f ca="1">IFERROR(__xludf.DUMMYFUNCTION("IMPORTRANGE(""https://docs.google.com/spreadsheets/d/1XL5vhW3sbDhbH9Cz0tuDiY8C3ctxq1tqvaCgkFb8cCA/edit?usp=sharing"",""ร้อยเอ็ด!M496"")"),1300)</f>
        <v>1300</v>
      </c>
      <c r="O601" s="169">
        <f t="shared" ca="1" si="126"/>
        <v>17.80821917808219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IFERROR(__xludf.DUMMYFUNCTION("IMPORTRANGE(""https://docs.google.com/spreadsheets/d/1XL5vhW3sbDhbH9Cz0tuDiY8C3ctxq1tqvaCgkFb8cCA/edit?usp=sharing"",""ร้อยเอ็ด!M497"")"),0)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IFERROR(__xludf.DUMMYFUNCTION("IMPORTRANGE(""https://docs.google.com/spreadsheets/d/1XL5vhW3sbDhbH9Cz0tuDiY8C3ctxq1tqvaCgkFb8cCA/edit?usp=sharing"",""ร้อยเอ็ด!M498"")"),0)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IFERROR(__xludf.DUMMYFUNCTION("IMPORTRANGE(""https://docs.google.com/spreadsheets/d/1XL5vhW3sbDhbH9Cz0tuDiY8C3ctxq1tqvaCgkFb8cCA/edit?usp=sharing"",""ร้อยเอ็ด!M499"")"),0)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IFERROR(__xludf.DUMMYFUNCTION("IMPORTRANGE(""https://docs.google.com/spreadsheets/d/1XL5vhW3sbDhbH9Cz0tuDiY8C3ctxq1tqvaCgkFb8cCA/edit?usp=sharing"",""ร้อยเอ็ด!M500"")"),1300)</f>
        <v>1300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IFERROR(__xludf.DUMMYFUNCTION("IMPORTRANGE(""https://docs.google.com/spreadsheets/d/1XL5vhW3sbDhbH9Cz0tuDiY8C3ctxq1tqvaCgkFb8cCA/edit?usp=sharing"",""ร้อยเอ็ด!J502"")"),0)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IFERROR(__xludf.DUMMYFUNCTION("IMPORTRANGE(""https://docs.google.com/spreadsheets/d/1XL5vhW3sbDhbH9Cz0tuDiY8C3ctxq1tqvaCgkFb8cCA/edit?usp=sharing"",""ร้อยเอ็ด!J503"")"),1)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539"/>
      <c r="B609" s="540"/>
      <c r="C609" s="540"/>
      <c r="D609" s="541"/>
      <c r="E609" s="542" t="s">
        <v>46</v>
      </c>
      <c r="F609" s="543"/>
      <c r="G609" s="544"/>
      <c r="H609" s="545"/>
      <c r="I609" s="546"/>
      <c r="J609" s="546">
        <f ca="1">IFERROR(__xludf.DUMMYFUNCTION("IMPORTRANGE(""https://docs.google.com/spreadsheets/d/1XL5vhW3sbDhbH9Cz0tuDiY8C3ctxq1tqvaCgkFb8cCA/edit?usp=sharing"",""ร้อยเอ็ด!J166"")"),0)</f>
        <v>0</v>
      </c>
      <c r="K609" s="547"/>
      <c r="L609" s="548"/>
      <c r="M609" s="548"/>
      <c r="N609" s="548"/>
      <c r="O609" s="548"/>
      <c r="P609" s="548"/>
    </row>
    <row r="610" spans="1:16" ht="21.75" hidden="1" customHeight="1" x14ac:dyDescent="0.35">
      <c r="A610" s="539"/>
      <c r="B610" s="540"/>
      <c r="C610" s="540"/>
      <c r="D610" s="541"/>
      <c r="E610" s="542" t="s">
        <v>47</v>
      </c>
      <c r="F610" s="543"/>
      <c r="G610" s="544"/>
      <c r="H610" s="545"/>
      <c r="I610" s="546"/>
      <c r="J610" s="546">
        <f ca="1">IFERROR(__xludf.DUMMYFUNCTION("IMPORTRANGE(""https://docs.google.com/spreadsheets/d/1XL5vhW3sbDhbH9Cz0tuDiY8C3ctxq1tqvaCgkFb8cCA/edit?usp=sharing"",""ร้อยเอ็ด!J166"")"),0)</f>
        <v>0</v>
      </c>
      <c r="K610" s="547"/>
      <c r="L610" s="548"/>
      <c r="M610" s="548"/>
      <c r="N610" s="548"/>
      <c r="O610" s="548"/>
      <c r="P610" s="548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IFERROR(__xludf.DUMMYFUNCTION("IMPORTRANGE(""https://docs.google.com/spreadsheets/d/1XL5vhW3sbDhbH9Cz0tuDiY8C3ctxq1tqvaCgkFb8cCA/edit?usp=sharing"",""ร้อยเอ็ด!I506"")"),100)</f>
        <v>100</v>
      </c>
      <c r="J611" s="162">
        <f ca="1">IFERROR(__xludf.DUMMYFUNCTION("IMPORTRANGE(""https://docs.google.com/spreadsheets/d/1XL5vhW3sbDhbH9Cz0tuDiY8C3ctxq1tqvaCgkFb8cCA/edit?usp=sharing"",""ร้อยเอ็ด!J506"")"),0)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IFERROR(__xludf.DUMMYFUNCTION("IMPORTRANGE(""https://docs.google.com/spreadsheets/d/1XL5vhW3sbDhbH9Cz0tuDiY8C3ctxq1tqvaCgkFb8cCA/edit?usp=sharing"",""ร้อยเอ็ด!I507"")"),0)</f>
        <v>0</v>
      </c>
      <c r="J612" s="198">
        <f ca="1">IFERROR(__xludf.DUMMYFUNCTION("IMPORTRANGE(""https://docs.google.com/spreadsheets/d/1XL5vhW3sbDhbH9Cz0tuDiY8C3ctxq1tqvaCgkFb8cCA/edit?usp=sharing"",""ร้อยเอ็ด!J507"")"),100)</f>
        <v>100</v>
      </c>
      <c r="K612" s="163">
        <f t="shared" ca="1" si="127"/>
        <v>100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IFERROR(__xludf.DUMMYFUNCTION("IMPORTRANGE(""https://docs.google.com/spreadsheets/d/1XL5vhW3sbDhbH9Cz0tuDiY8C3ctxq1tqvaCgkFb8cCA/edit?usp=sharing"",""ร้อยเอ็ด!I508"")"),0)</f>
        <v>0</v>
      </c>
      <c r="J613" s="198">
        <f ca="1">IFERROR(__xludf.DUMMYFUNCTION("IMPORTRANGE(""https://docs.google.com/spreadsheets/d/1XL5vhW3sbDhbH9Cz0tuDiY8C3ctxq1tqvaCgkFb8cCA/edit?usp=sharing"",""ร้อยเอ็ด!J508"")"),100)</f>
        <v>100</v>
      </c>
      <c r="K613" s="163">
        <f t="shared" ca="1" si="127"/>
        <v>100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IFERROR(__xludf.DUMMYFUNCTION("IMPORTRANGE(""https://docs.google.com/spreadsheets/d/1XL5vhW3sbDhbH9Cz0tuDiY8C3ctxq1tqvaCgkFb8cCA/edit?usp=sharing"",""ร้อยเอ็ด!I509"")"),0)</f>
        <v>0</v>
      </c>
      <c r="J614" s="198">
        <f ca="1">IFERROR(__xludf.DUMMYFUNCTION("IMPORTRANGE(""https://docs.google.com/spreadsheets/d/1XL5vhW3sbDhbH9Cz0tuDiY8C3ctxq1tqvaCgkFb8cCA/edit?usp=sharing"",""ร้อยเอ็ด!J509"")"),100)</f>
        <v>100</v>
      </c>
      <c r="K614" s="163">
        <f t="shared" ca="1" si="127"/>
        <v>100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IFERROR(__xludf.DUMMYFUNCTION("IMPORTRANGE(""https://docs.google.com/spreadsheets/d/1XL5vhW3sbDhbH9Cz0tuDiY8C3ctxq1tqvaCgkFb8cCA/edit?usp=sharing"",""ร้อยเอ็ด!I510"")"),0)</f>
        <v>0</v>
      </c>
      <c r="J615" s="198">
        <f ca="1">IFERROR(__xludf.DUMMYFUNCTION("IMPORTRANGE(""https://docs.google.com/spreadsheets/d/1XL5vhW3sbDhbH9Cz0tuDiY8C3ctxq1tqvaCgkFb8cCA/edit?usp=sharing"",""ร้อยเอ็ด!J510"")"),100)</f>
        <v>100</v>
      </c>
      <c r="K615" s="163">
        <f t="shared" ca="1" si="127"/>
        <v>100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IFERROR(__xludf.DUMMYFUNCTION("IMPORTRANGE(""https://docs.google.com/spreadsheets/d/1XL5vhW3sbDhbH9Cz0tuDiY8C3ctxq1tqvaCgkFb8cCA/edit?usp=sharing"",""ร้อยเอ็ด!I511"")"),0)</f>
        <v>0</v>
      </c>
      <c r="J616" s="198">
        <f ca="1">IFERROR(__xludf.DUMMYFUNCTION("IMPORTRANGE(""https://docs.google.com/spreadsheets/d/1XL5vhW3sbDhbH9Cz0tuDiY8C3ctxq1tqvaCgkFb8cCA/edit?usp=sharing"",""ร้อยเอ็ด!J511"")"),0)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IFERROR(__xludf.DUMMYFUNCTION("IMPORTRANGE(""https://docs.google.com/spreadsheets/d/1XL5vhW3sbDhbH9Cz0tuDiY8C3ctxq1tqvaCgkFb8cCA/edit?usp=sharing"",""ร้อยเอ็ด!I512"")"),0)</f>
        <v>0</v>
      </c>
      <c r="J617" s="188">
        <f ca="1">IFERROR(__xludf.DUMMYFUNCTION("IMPORTRANGE(""https://docs.google.com/spreadsheets/d/1XL5vhW3sbDhbH9Cz0tuDiY8C3ctxq1tqvaCgkFb8cCA/edit?usp=sharing"",""ร้อยเอ็ด!J512"")"),0)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IFERROR(__xludf.DUMMYFUNCTION("IMPORTRANGE(""https://docs.google.com/spreadsheets/d/1XL5vhW3sbDhbH9Cz0tuDiY8C3ctxq1tqvaCgkFb8cCA/edit?usp=sharing"",""ร้อยเอ็ด!I513"")"),0)</f>
        <v>0</v>
      </c>
      <c r="J618" s="189">
        <f ca="1">IFERROR(__xludf.DUMMYFUNCTION("IMPORTRANGE(""https://docs.google.com/spreadsheets/d/1XL5vhW3sbDhbH9Cz0tuDiY8C3ctxq1tqvaCgkFb8cCA/edit?usp=sharing"",""ร้อยเอ็ด!J513"")"),0)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IFERROR(__xludf.DUMMYFUNCTION("IMPORTRANGE(""https://docs.google.com/spreadsheets/d/1XL5vhW3sbDhbH9Cz0tuDiY8C3ctxq1tqvaCgkFb8cCA/edit?usp=sharing"",""ร้อยเอ็ด!I514"")"),0)</f>
        <v>0</v>
      </c>
      <c r="J619" s="189">
        <f ca="1">IFERROR(__xludf.DUMMYFUNCTION("IMPORTRANGE(""https://docs.google.com/spreadsheets/d/1XL5vhW3sbDhbH9Cz0tuDiY8C3ctxq1tqvaCgkFb8cCA/edit?usp=sharing"",""ร้อยเอ็ด!J514"")"),0)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IFERROR(__xludf.DUMMYFUNCTION("IMPORTRANGE(""https://docs.google.com/spreadsheets/d/1XL5vhW3sbDhbH9Cz0tuDiY8C3ctxq1tqvaCgkFb8cCA/edit?usp=sharing"",""ร้อยเอ็ด!I515"")"),50)</f>
        <v>50</v>
      </c>
      <c r="J620" s="203">
        <f ca="1">IFERROR(__xludf.DUMMYFUNCTION("IMPORTRANGE(""https://docs.google.com/spreadsheets/d/1XL5vhW3sbDhbH9Cz0tuDiY8C3ctxq1tqvaCgkFb8cCA/edit?usp=sharing"",""ร้อยเอ็ด!J515"")"),0)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IFERROR(__xludf.DUMMYFUNCTION("IMPORTRANGE(""https://docs.google.com/spreadsheets/d/1XL5vhW3sbDhbH9Cz0tuDiY8C3ctxq1tqvaCgkFb8cCA/edit?usp=sharing"",""ร้อยเอ็ด!I516"")"),0)</f>
        <v>0</v>
      </c>
      <c r="J621" s="203">
        <f ca="1">IFERROR(__xludf.DUMMYFUNCTION("IMPORTRANGE(""https://docs.google.com/spreadsheets/d/1XL5vhW3sbDhbH9Cz0tuDiY8C3ctxq1tqvaCgkFb8cCA/edit?usp=sharing"",""ร้อยเอ็ด!J516"")"),0)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IFERROR(__xludf.DUMMYFUNCTION("IMPORTRANGE(""https://docs.google.com/spreadsheets/d/1XL5vhW3sbDhbH9Cz0tuDiY8C3ctxq1tqvaCgkFb8cCA/edit?usp=sharing"",""ร้อยเอ็ด!I517"")"),0)</f>
        <v>0</v>
      </c>
      <c r="J622" s="189">
        <f ca="1">IFERROR(__xludf.DUMMYFUNCTION("IMPORTRANGE(""https://docs.google.com/spreadsheets/d/1XL5vhW3sbDhbH9Cz0tuDiY8C3ctxq1tqvaCgkFb8cCA/edit?usp=sharing"",""ร้อยเอ็ด!J517"")"),0)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IFERROR(__xludf.DUMMYFUNCTION("IMPORTRANGE(""https://docs.google.com/spreadsheets/d/1XL5vhW3sbDhbH9Cz0tuDiY8C3ctxq1tqvaCgkFb8cCA/edit?usp=sharing"",""ร้อยเอ็ด!I518"")"),0)</f>
        <v>0</v>
      </c>
      <c r="J623" s="189">
        <f ca="1">IFERROR(__xludf.DUMMYFUNCTION("IMPORTRANGE(""https://docs.google.com/spreadsheets/d/1XL5vhW3sbDhbH9Cz0tuDiY8C3ctxq1tqvaCgkFb8cCA/edit?usp=sharing"",""ร้อยเอ็ด!J518"")"),0)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IFERROR(__xludf.DUMMYFUNCTION("IMPORTRANGE(""https://docs.google.com/spreadsheets/d/1XL5vhW3sbDhbH9Cz0tuDiY8C3ctxq1tqvaCgkFb8cCA/edit?usp=sharing"",""ร้อยเอ็ด!I519"")"),0)</f>
        <v>0</v>
      </c>
      <c r="J624" s="188">
        <f ca="1">IFERROR(__xludf.DUMMYFUNCTION("IMPORTRANGE(""https://docs.google.com/spreadsheets/d/1XL5vhW3sbDhbH9Cz0tuDiY8C3ctxq1tqvaCgkFb8cCA/edit?usp=sharing"",""ร้อยเอ็ด!J519"")"),0)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IFERROR(__xludf.DUMMYFUNCTION("IMPORTRANGE(""https://docs.google.com/spreadsheets/d/1XL5vhW3sbDhbH9Cz0tuDiY8C3ctxq1tqvaCgkFb8cCA/edit?usp=sharing"",""ร้อยเอ็ด!I520"")"),0)</f>
        <v>0</v>
      </c>
      <c r="J625" s="189">
        <f ca="1">IFERROR(__xludf.DUMMYFUNCTION("IMPORTRANGE(""https://docs.google.com/spreadsheets/d/1XL5vhW3sbDhbH9Cz0tuDiY8C3ctxq1tqvaCgkFb8cCA/edit?usp=sharing"",""ร้อยเอ็ด!J520"")"),0)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IFERROR(__xludf.DUMMYFUNCTION("IMPORTRANGE(""https://docs.google.com/spreadsheets/d/1XL5vhW3sbDhbH9Cz0tuDiY8C3ctxq1tqvaCgkFb8cCA/edit?usp=sharing"",""ร้อยเอ็ด!I521"")"),0)</f>
        <v>0</v>
      </c>
      <c r="J626" s="189">
        <f ca="1">IFERROR(__xludf.DUMMYFUNCTION("IMPORTRANGE(""https://docs.google.com/spreadsheets/d/1XL5vhW3sbDhbH9Cz0tuDiY8C3ctxq1tqvaCgkFb8cCA/edit?usp=sharing"",""ร้อยเอ็ด!J521"")"),0)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IFERROR(__xludf.DUMMYFUNCTION("IMPORTRANGE(""https://docs.google.com/spreadsheets/d/1XL5vhW3sbDhbH9Cz0tuDiY8C3ctxq1tqvaCgkFb8cCA/edit?usp=sharing"",""ร้อยเอ็ด!I523"")"),5959465.33)</f>
        <v>5959465.3300000001</v>
      </c>
      <c r="J628" s="341">
        <f ca="1">IFERROR(__xludf.DUMMYFUNCTION("IMPORTRANGE(""https://docs.google.com/spreadsheets/d/1XL5vhW3sbDhbH9Cz0tuDiY8C3ctxq1tqvaCgkFb8cCA/edit?usp=sharing"",""ร้อยเอ็ด!J523"")"),3177589.88)</f>
        <v>3177589.88</v>
      </c>
      <c r="K628" s="342">
        <f t="shared" ref="K628:K635" ca="1" si="129">IF(I628&gt;0,J628*100/I628,0)</f>
        <v>53.320049770303804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IFERROR(__xludf.DUMMYFUNCTION("IMPORTRANGE(""https://docs.google.com/spreadsheets/d/1XL5vhW3sbDhbH9Cz0tuDiY8C3ctxq1tqvaCgkFb8cCA/edit?usp=sharing"",""ร้อยเอ็ด!I524"")"),610)</f>
        <v>610</v>
      </c>
      <c r="J629" s="341">
        <f ca="1">IFERROR(__xludf.DUMMYFUNCTION("IMPORTRANGE(""https://docs.google.com/spreadsheets/d/1XL5vhW3sbDhbH9Cz0tuDiY8C3ctxq1tqvaCgkFb8cCA/edit?usp=sharing"",""ร้อยเอ็ด!J524"")"),251)</f>
        <v>251</v>
      </c>
      <c r="K629" s="342">
        <f t="shared" ca="1" si="129"/>
        <v>41.147540983606561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IFERROR(__xludf.DUMMYFUNCTION("IMPORTRANGE(""https://docs.google.com/spreadsheets/d/1XL5vhW3sbDhbH9Cz0tuDiY8C3ctxq1tqvaCgkFb8cCA/edit?usp=sharing"",""ร้อยเอ็ด!I525"")"),34357869.12)</f>
        <v>34357869.119999997</v>
      </c>
      <c r="J630" s="341">
        <f ca="1">IFERROR(__xludf.DUMMYFUNCTION("IMPORTRANGE(""https://docs.google.com/spreadsheets/d/1XL5vhW3sbDhbH9Cz0tuDiY8C3ctxq1tqvaCgkFb8cCA/edit?usp=sharing"",""ร้อยเอ็ด!J525"")"),3923850.03)</f>
        <v>3923850.03</v>
      </c>
      <c r="K630" s="342">
        <f t="shared" ca="1" si="129"/>
        <v>11.420527903798012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IFERROR(__xludf.DUMMYFUNCTION("IMPORTRANGE(""https://docs.google.com/spreadsheets/d/1XL5vhW3sbDhbH9Cz0tuDiY8C3ctxq1tqvaCgkFb8cCA/edit?usp=sharing"",""ร้อยเอ็ด!I526"")"),1701)</f>
        <v>1701</v>
      </c>
      <c r="J631" s="341">
        <f ca="1">IFERROR(__xludf.DUMMYFUNCTION("IMPORTRANGE(""https://docs.google.com/spreadsheets/d/1XL5vhW3sbDhbH9Cz0tuDiY8C3ctxq1tqvaCgkFb8cCA/edit?usp=sharing"",""ร้อยเอ็ด!J526"")"),814)</f>
        <v>814</v>
      </c>
      <c r="K631" s="342">
        <f t="shared" ca="1" si="129"/>
        <v>47.854203409758966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IFERROR(__xludf.DUMMYFUNCTION("IMPORTRANGE(""https://docs.google.com/spreadsheets/d/1XL5vhW3sbDhbH9Cz0tuDiY8C3ctxq1tqvaCgkFb8cCA/edit?usp=sharing"",""ร้อยเอ็ด!I527"")"),0)</f>
        <v>0</v>
      </c>
      <c r="J632" s="341">
        <f ca="1">IFERROR(__xludf.DUMMYFUNCTION("IMPORTRANGE(""https://docs.google.com/spreadsheets/d/1XL5vhW3sbDhbH9Cz0tuDiY8C3ctxq1tqvaCgkFb8cCA/edit?usp=sharing"",""ร้อยเอ็ด!J527"")"),876.5)</f>
        <v>876.5</v>
      </c>
      <c r="K632" s="342">
        <f t="shared" ca="1" si="129"/>
        <v>0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IFERROR(__xludf.DUMMYFUNCTION("IMPORTRANGE(""https://docs.google.com/spreadsheets/d/1XL5vhW3sbDhbH9Cz0tuDiY8C3ctxq1tqvaCgkFb8cCA/edit?usp=sharing"",""ร้อยเอ็ด!I528"")"),0)</f>
        <v>0</v>
      </c>
      <c r="J633" s="341">
        <f ca="1">IFERROR(__xludf.DUMMYFUNCTION("IMPORTRANGE(""https://docs.google.com/spreadsheets/d/1XL5vhW3sbDhbH9Cz0tuDiY8C3ctxq1tqvaCgkFb8cCA/edit?usp=sharing"",""ร้อยเอ็ด!J528"")"),1)</f>
        <v>1</v>
      </c>
      <c r="K633" s="342">
        <f t="shared" ca="1" si="129"/>
        <v>0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IFERROR(__xludf.DUMMYFUNCTION("IMPORTRANGE(""https://docs.google.com/spreadsheets/d/1XL5vhW3sbDhbH9Cz0tuDiY8C3ctxq1tqvaCgkFb8cCA/edit?usp=sharing"",""ร้อยเอ็ด!I529"")"),3000000)</f>
        <v>3000000</v>
      </c>
      <c r="J634" s="341">
        <f ca="1">IFERROR(__xludf.DUMMYFUNCTION("IMPORTRANGE(""https://docs.google.com/spreadsheets/d/1XL5vhW3sbDhbH9Cz0tuDiY8C3ctxq1tqvaCgkFb8cCA/edit?usp=sharing"",""ร้อยเอ็ด!J529"")"),3000000)</f>
        <v>3000000</v>
      </c>
      <c r="K634" s="342">
        <f t="shared" ca="1" si="129"/>
        <v>100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IFERROR(__xludf.DUMMYFUNCTION("IMPORTRANGE(""https://docs.google.com/spreadsheets/d/1XL5vhW3sbDhbH9Cz0tuDiY8C3ctxq1tqvaCgkFb8cCA/edit?usp=sharing"",""ร้อยเอ็ด!I530"")"),80)</f>
        <v>80</v>
      </c>
      <c r="J635" s="504">
        <f ca="1">IFERROR(__xludf.DUMMYFUNCTION("IMPORTRANGE(""https://docs.google.com/spreadsheets/d/1XL5vhW3sbDhbH9Cz0tuDiY8C3ctxq1tqvaCgkFb8cCA/edit?usp=sharing"",""ร้อยเอ็ด!J530"")"),80)</f>
        <v>80</v>
      </c>
      <c r="K635" s="486">
        <f t="shared" ca="1" si="129"/>
        <v>100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49" t="s">
        <v>237</v>
      </c>
      <c r="F636" s="549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12" sqref="J12"/>
      <selection pane="bottomLeft" activeCell="G556" sqref="G556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5.363281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56" t="s">
        <v>0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</row>
    <row r="2" spans="1:16" ht="18" customHeight="1" x14ac:dyDescent="0.35">
      <c r="A2" s="556" t="s">
        <v>260</v>
      </c>
      <c r="B2" s="556"/>
      <c r="C2" s="556"/>
      <c r="D2" s="556"/>
      <c r="E2" s="556"/>
      <c r="F2" s="556"/>
      <c r="G2" s="556"/>
      <c r="H2" s="556"/>
      <c r="I2" s="556"/>
      <c r="J2" s="556"/>
      <c r="K2" s="556"/>
      <c r="L2" s="556"/>
      <c r="M2" s="556"/>
      <c r="N2" s="556"/>
      <c r="O2" s="556"/>
      <c r="P2" s="556"/>
    </row>
    <row r="3" spans="1:16" ht="18" customHeight="1" x14ac:dyDescent="0.35">
      <c r="A3" s="556" t="s">
        <v>278</v>
      </c>
      <c r="B3" s="556"/>
      <c r="C3" s="556"/>
      <c r="D3" s="556"/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6"/>
      <c r="P3" s="55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79" t="s">
        <v>2</v>
      </c>
      <c r="B5" s="565"/>
      <c r="C5" s="565"/>
      <c r="D5" s="565"/>
      <c r="E5" s="565"/>
      <c r="F5" s="565"/>
      <c r="G5" s="566"/>
      <c r="H5" s="578" t="s">
        <v>3</v>
      </c>
      <c r="I5" s="559" t="s">
        <v>4</v>
      </c>
      <c r="J5" s="560"/>
      <c r="K5" s="561"/>
      <c r="L5" s="562" t="s">
        <v>5</v>
      </c>
      <c r="M5" s="561"/>
      <c r="N5" s="563" t="s">
        <v>6</v>
      </c>
      <c r="O5" s="560"/>
      <c r="P5" s="561"/>
    </row>
    <row r="6" spans="1:16" ht="21.75" customHeight="1" x14ac:dyDescent="0.35">
      <c r="A6" s="567"/>
      <c r="B6" s="568"/>
      <c r="C6" s="568"/>
      <c r="D6" s="568"/>
      <c r="E6" s="568"/>
      <c r="F6" s="568"/>
      <c r="G6" s="569"/>
      <c r="H6" s="55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80" t="s">
        <v>15</v>
      </c>
      <c r="B7" s="560"/>
      <c r="C7" s="560"/>
      <c r="D7" s="560"/>
      <c r="E7" s="560"/>
      <c r="F7" s="560"/>
      <c r="G7" s="561"/>
      <c r="H7" s="512"/>
      <c r="I7" s="513"/>
      <c r="J7" s="513"/>
      <c r="K7" s="514"/>
      <c r="L7" s="515"/>
      <c r="M7" s="514"/>
      <c r="N7" s="515"/>
      <c r="O7" s="516"/>
      <c r="P7" s="516"/>
    </row>
    <row r="8" spans="1:16" ht="21.75" customHeight="1" x14ac:dyDescent="0.45">
      <c r="A8" s="17"/>
      <c r="B8" s="18"/>
      <c r="C8" s="19" t="s">
        <v>16</v>
      </c>
      <c r="D8" s="571" t="s">
        <v>17</v>
      </c>
      <c r="E8" s="555"/>
      <c r="F8" s="555"/>
      <c r="G8" s="555"/>
      <c r="H8" s="20" t="s">
        <v>12</v>
      </c>
      <c r="I8" s="21"/>
      <c r="J8" s="21"/>
      <c r="K8" s="22"/>
      <c r="L8" s="23">
        <f t="shared" ref="L8:N8" ca="1" si="0">L9+L10</f>
        <v>6463551</v>
      </c>
      <c r="M8" s="23">
        <f t="shared" ca="1" si="0"/>
        <v>2635050</v>
      </c>
      <c r="N8" s="23">
        <f t="shared" ca="1" si="0"/>
        <v>2516575.0700000003</v>
      </c>
      <c r="O8" s="22">
        <f t="shared" ref="O8:O16" ca="1" si="1">IF(L8&gt;0,N8*100/L8,0)</f>
        <v>38.934868310004831</v>
      </c>
      <c r="P8" s="22">
        <f t="shared" ref="P8:P16" ca="1" si="2">IF(M8&gt;0,N8*100/M8,0)</f>
        <v>95.503883038272534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6463551</v>
      </c>
      <c r="M10" s="30">
        <f t="shared" ca="1" si="4"/>
        <v>2635050</v>
      </c>
      <c r="N10" s="30">
        <f t="shared" ca="1" si="4"/>
        <v>2516575.0700000003</v>
      </c>
      <c r="O10" s="29">
        <f t="shared" ca="1" si="1"/>
        <v>38.934868310004831</v>
      </c>
      <c r="P10" s="29">
        <f t="shared" ca="1" si="2"/>
        <v>95.503883038272534</v>
      </c>
    </row>
    <row r="11" spans="1:16" ht="21.75" customHeight="1" x14ac:dyDescent="0.45">
      <c r="A11" s="31"/>
      <c r="B11" s="32"/>
      <c r="C11" s="33" t="s">
        <v>16</v>
      </c>
      <c r="D11" s="572" t="s">
        <v>20</v>
      </c>
      <c r="E11" s="553"/>
      <c r="F11" s="55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6286551</v>
      </c>
      <c r="M12" s="38">
        <f t="shared" ca="1" si="6"/>
        <v>2458050</v>
      </c>
      <c r="N12" s="38">
        <f t="shared" ca="1" si="6"/>
        <v>2339575.0700000003</v>
      </c>
      <c r="O12" s="38">
        <f t="shared" ca="1" si="1"/>
        <v>37.215558578940986</v>
      </c>
      <c r="P12" s="38">
        <f t="shared" ca="1" si="2"/>
        <v>95.180125302577252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2279400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4007151</v>
      </c>
      <c r="M14" s="38">
        <f t="shared" si="8"/>
        <v>0</v>
      </c>
      <c r="N14" s="38">
        <f t="shared" ca="1" si="8"/>
        <v>807524.07000000007</v>
      </c>
      <c r="O14" s="38">
        <f t="shared" ca="1" si="1"/>
        <v>20.152074878136613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2" t="s">
        <v>23</v>
      </c>
      <c r="E15" s="55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177000</v>
      </c>
      <c r="M16" s="38">
        <f t="shared" ca="1" si="10"/>
        <v>177000</v>
      </c>
      <c r="N16" s="38">
        <f t="shared" ca="1" si="10"/>
        <v>177000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80" t="s">
        <v>24</v>
      </c>
      <c r="B17" s="560"/>
      <c r="C17" s="560"/>
      <c r="D17" s="560"/>
      <c r="E17" s="560"/>
      <c r="F17" s="560"/>
      <c r="G17" s="561"/>
      <c r="H17" s="512"/>
      <c r="I17" s="513"/>
      <c r="J17" s="513"/>
      <c r="K17" s="514"/>
      <c r="L17" s="515"/>
      <c r="M17" s="514"/>
      <c r="N17" s="515"/>
      <c r="O17" s="516"/>
      <c r="P17" s="516"/>
    </row>
    <row r="18" spans="1:16" ht="21.75" customHeight="1" x14ac:dyDescent="0.45">
      <c r="A18" s="17"/>
      <c r="B18" s="18"/>
      <c r="C18" s="19" t="s">
        <v>16</v>
      </c>
      <c r="D18" s="571" t="s">
        <v>17</v>
      </c>
      <c r="E18" s="555"/>
      <c r="F18" s="555"/>
      <c r="G18" s="555"/>
      <c r="H18" s="20" t="s">
        <v>12</v>
      </c>
      <c r="I18" s="21"/>
      <c r="J18" s="21"/>
      <c r="K18" s="22"/>
      <c r="L18" s="23">
        <f t="shared" ref="L18:N18" ca="1" si="11">L19+L20</f>
        <v>3436205</v>
      </c>
      <c r="M18" s="23">
        <f t="shared" ca="1" si="11"/>
        <v>2635050</v>
      </c>
      <c r="N18" s="23">
        <f t="shared" ca="1" si="11"/>
        <v>1709051</v>
      </c>
      <c r="O18" s="22">
        <f t="shared" ref="O18:O20" ca="1" si="12">IF(L18&gt;0,N18*100/L18,0)</f>
        <v>49.736584400523249</v>
      </c>
      <c r="P18" s="22">
        <f t="shared" ref="P18:P26" ca="1" si="13">IF(M18&gt;0,N18*100/M18,0)</f>
        <v>64.858389783875069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3436205</v>
      </c>
      <c r="M20" s="30">
        <f t="shared" ca="1" si="15"/>
        <v>2635050</v>
      </c>
      <c r="N20" s="30">
        <f t="shared" ca="1" si="15"/>
        <v>1709051</v>
      </c>
      <c r="O20" s="29">
        <f t="shared" ca="1" si="12"/>
        <v>49.736584400523249</v>
      </c>
      <c r="P20" s="29">
        <f t="shared" ca="1" si="13"/>
        <v>64.858389783875069</v>
      </c>
    </row>
    <row r="21" spans="1:16" ht="21.75" customHeight="1" x14ac:dyDescent="0.45">
      <c r="A21" s="31"/>
      <c r="B21" s="32"/>
      <c r="C21" s="33" t="s">
        <v>16</v>
      </c>
      <c r="D21" s="572" t="s">
        <v>20</v>
      </c>
      <c r="E21" s="553"/>
      <c r="F21" s="55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3259205</v>
      </c>
      <c r="M22" s="41">
        <f t="shared" ca="1" si="18"/>
        <v>2458050</v>
      </c>
      <c r="N22" s="38">
        <f t="shared" ca="1" si="18"/>
        <v>1532051</v>
      </c>
      <c r="O22" s="38">
        <f t="shared" ca="1" si="17"/>
        <v>47.006892785203753</v>
      </c>
      <c r="P22" s="38">
        <f t="shared" ca="1" si="13"/>
        <v>62.327902198897497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2279400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979805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2" t="s">
        <v>23</v>
      </c>
      <c r="E25" s="55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177000</v>
      </c>
      <c r="M26" s="49">
        <f t="shared" ca="1" si="22"/>
        <v>177000</v>
      </c>
      <c r="N26" s="49">
        <f t="shared" ca="1" si="22"/>
        <v>177000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80" t="s">
        <v>25</v>
      </c>
      <c r="B27" s="560"/>
      <c r="C27" s="560"/>
      <c r="D27" s="560"/>
      <c r="E27" s="560"/>
      <c r="F27" s="560"/>
      <c r="G27" s="561"/>
      <c r="H27" s="512"/>
      <c r="I27" s="513"/>
      <c r="J27" s="513"/>
      <c r="K27" s="514"/>
      <c r="L27" s="515"/>
      <c r="M27" s="514"/>
      <c r="N27" s="515"/>
      <c r="O27" s="516"/>
      <c r="P27" s="516"/>
    </row>
    <row r="28" spans="1:16" ht="21.75" customHeight="1" x14ac:dyDescent="0.45">
      <c r="A28" s="17"/>
      <c r="B28" s="18"/>
      <c r="C28" s="19" t="s">
        <v>16</v>
      </c>
      <c r="D28" s="571" t="s">
        <v>17</v>
      </c>
      <c r="E28" s="555"/>
      <c r="F28" s="555"/>
      <c r="G28" s="555"/>
      <c r="H28" s="20" t="s">
        <v>12</v>
      </c>
      <c r="I28" s="21"/>
      <c r="J28" s="21"/>
      <c r="K28" s="22"/>
      <c r="L28" s="23">
        <f t="shared" ref="L28:N28" ca="1" si="23">L29+L30</f>
        <v>3027346</v>
      </c>
      <c r="M28" s="23">
        <f t="shared" si="23"/>
        <v>0</v>
      </c>
      <c r="N28" s="23">
        <f t="shared" ca="1" si="23"/>
        <v>807524.07000000007</v>
      </c>
      <c r="O28" s="22">
        <f t="shared" ref="O28:O30" ca="1" si="24">IF(L28&gt;0,N28*100/L28,0)</f>
        <v>26.674323648502682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3027346</v>
      </c>
      <c r="M30" s="30">
        <f t="shared" si="27"/>
        <v>0</v>
      </c>
      <c r="N30" s="30">
        <f t="shared" ca="1" si="27"/>
        <v>807524.07000000007</v>
      </c>
      <c r="O30" s="29">
        <f t="shared" ca="1" si="24"/>
        <v>26.674323648502682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2" t="s">
        <v>20</v>
      </c>
      <c r="E31" s="553"/>
      <c r="F31" s="55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3027346</v>
      </c>
      <c r="M32" s="38">
        <f t="shared" si="30"/>
        <v>0</v>
      </c>
      <c r="N32" s="38">
        <f t="shared" ca="1" si="30"/>
        <v>807524.07000000007</v>
      </c>
      <c r="O32" s="38">
        <f t="shared" ca="1" si="29"/>
        <v>26.674323648502682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3027346</v>
      </c>
      <c r="M34" s="38">
        <f t="shared" si="32"/>
        <v>0</v>
      </c>
      <c r="N34" s="38">
        <f t="shared" ca="1" si="32"/>
        <v>807524.07000000007</v>
      </c>
      <c r="O34" s="38">
        <f t="shared" ca="1" si="29"/>
        <v>26.674323648502682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2" t="s">
        <v>23</v>
      </c>
      <c r="E35" s="55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3436205</v>
      </c>
      <c r="M37" s="54">
        <f t="shared" ca="1" si="33"/>
        <v>2635050</v>
      </c>
      <c r="N37" s="54">
        <f t="shared" ca="1" si="33"/>
        <v>1709051</v>
      </c>
      <c r="O37" s="55">
        <f t="shared" ca="1" si="29"/>
        <v>49.736584400523249</v>
      </c>
      <c r="P37" s="55">
        <f t="shared" ca="1" si="25"/>
        <v>64.858389783875069</v>
      </c>
    </row>
    <row r="38" spans="1:16" ht="21.75" customHeight="1" x14ac:dyDescent="0.45">
      <c r="A38" s="581" t="s">
        <v>27</v>
      </c>
      <c r="B38" s="560"/>
      <c r="C38" s="560"/>
      <c r="D38" s="560"/>
      <c r="E38" s="560"/>
      <c r="F38" s="560"/>
      <c r="G38" s="561"/>
      <c r="H38" s="517"/>
      <c r="I38" s="518"/>
      <c r="J38" s="518"/>
      <c r="K38" s="519"/>
      <c r="L38" s="520"/>
      <c r="M38" s="520"/>
      <c r="N38" s="520"/>
      <c r="O38" s="520"/>
      <c r="P38" s="520"/>
    </row>
    <row r="39" spans="1:16" ht="21.75" customHeight="1" x14ac:dyDescent="0.45">
      <c r="A39" s="521"/>
      <c r="B39" s="582" t="s">
        <v>28</v>
      </c>
      <c r="C39" s="555"/>
      <c r="D39" s="555"/>
      <c r="E39" s="555"/>
      <c r="F39" s="555"/>
      <c r="G39" s="555"/>
      <c r="H39" s="522"/>
      <c r="I39" s="523"/>
      <c r="J39" s="523"/>
      <c r="K39" s="524"/>
      <c r="L39" s="525"/>
      <c r="M39" s="525"/>
      <c r="N39" s="525"/>
      <c r="O39" s="524"/>
      <c r="P39" s="524"/>
    </row>
    <row r="40" spans="1:16" ht="21.75" customHeight="1" x14ac:dyDescent="0.45">
      <c r="A40" s="526"/>
      <c r="B40" s="527" t="s">
        <v>29</v>
      </c>
      <c r="C40" s="528"/>
      <c r="D40" s="528"/>
      <c r="E40" s="528"/>
      <c r="F40" s="528"/>
      <c r="G40" s="528"/>
      <c r="H40" s="529"/>
      <c r="I40" s="530"/>
      <c r="J40" s="530"/>
      <c r="K40" s="531"/>
      <c r="L40" s="532"/>
      <c r="M40" s="532"/>
      <c r="N40" s="532"/>
      <c r="O40" s="531"/>
      <c r="P40" s="531"/>
    </row>
    <row r="41" spans="1:16" ht="21.75" customHeight="1" x14ac:dyDescent="0.45">
      <c r="A41" s="72"/>
      <c r="B41" s="73"/>
      <c r="C41" s="74" t="s">
        <v>16</v>
      </c>
      <c r="D41" s="575" t="s">
        <v>17</v>
      </c>
      <c r="E41" s="553"/>
      <c r="F41" s="553"/>
      <c r="G41" s="553"/>
      <c r="H41" s="75" t="s">
        <v>12</v>
      </c>
      <c r="I41" s="76"/>
      <c r="J41" s="76"/>
      <c r="K41" s="77"/>
      <c r="L41" s="78">
        <f t="shared" ref="L41:N41" ca="1" si="34">L42+L43</f>
        <v>811700</v>
      </c>
      <c r="M41" s="78">
        <f t="shared" ca="1" si="34"/>
        <v>629900</v>
      </c>
      <c r="N41" s="78">
        <f t="shared" ca="1" si="34"/>
        <v>538975.32000000007</v>
      </c>
      <c r="O41" s="77">
        <f t="shared" ref="O41:O43" ca="1" si="35">IF(L41&gt;0,N41*100/L41,0)</f>
        <v>66.400803252433178</v>
      </c>
      <c r="P41" s="77">
        <f t="shared" ref="P41:P43" ca="1" si="36">IF(M41&gt;0,N41*100/M41,0)</f>
        <v>85.565219876170829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811700</v>
      </c>
      <c r="M43" s="78">
        <f t="shared" ca="1" si="38"/>
        <v>629900</v>
      </c>
      <c r="N43" s="78">
        <f t="shared" ca="1" si="38"/>
        <v>538975.32000000007</v>
      </c>
      <c r="O43" s="77">
        <f t="shared" ca="1" si="35"/>
        <v>66.400803252433178</v>
      </c>
      <c r="P43" s="77">
        <f t="shared" ca="1" si="36"/>
        <v>85.565219876170829</v>
      </c>
    </row>
    <row r="44" spans="1:16" ht="21.75" customHeight="1" x14ac:dyDescent="0.45">
      <c r="A44" s="79"/>
      <c r="B44" s="80"/>
      <c r="C44" s="81" t="s">
        <v>16</v>
      </c>
      <c r="D44" s="552" t="s">
        <v>20</v>
      </c>
      <c r="E44" s="553"/>
      <c r="F44" s="55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727100</v>
      </c>
      <c r="M45" s="533">
        <f ca="1">IFERROR(__xludf.DUMMYFUNCTION("IMPORTRANGE(""https://docs.google.com/spreadsheets/d/1Yj_ptqi66GCucihVvJfMjLAmec39IyEx_6qawtMGysU/edit?usp=sharing"",""สบก!Q49"")"),545300)</f>
        <v>545300</v>
      </c>
      <c r="N45" s="533">
        <f ca="1">IFERROR(__xludf.DUMMYFUNCTION("IMPORTRANGE(""https://docs.google.com/spreadsheets/d/1Yj_ptqi66GCucihVvJfMjLAmec39IyEx_6qawtMGysU/edit?usp=sharing"",""สบก!R49"")"),454375.32)</f>
        <v>454375.32</v>
      </c>
      <c r="O45" s="534">
        <f ca="1">IF(L45&gt;0,N45*100/L45,0)</f>
        <v>62.491448218952002</v>
      </c>
      <c r="P45" s="534">
        <f ca="1">IF(M45&gt;0,N45*100/M45,0)</f>
        <v>83.325750962772787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533">
        <f ca="1">IFERROR(__xludf.DUMMYFUNCTION("IMPORTRANGE(""https://docs.google.com/spreadsheets/d/1Yj_ptqi66GCucihVvJfMjLAmec39IyEx_6qawtMGysU/edit?usp=sharing"",""สบก!M49"")"),727100)</f>
        <v>727100</v>
      </c>
      <c r="M46" s="535"/>
      <c r="N46" s="38"/>
      <c r="O46" s="534"/>
      <c r="P46" s="534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533">
        <f ca="1">IFERROR(__xludf.DUMMYFUNCTION("IMPORTRANGE(""https://docs.google.com/spreadsheets/d/1Yj_ptqi66GCucihVvJfMjLAmec39IyEx_6qawtMGysU/edit?usp=sharing"",""สบก!N49"")"),0)</f>
        <v>0</v>
      </c>
      <c r="M47" s="535"/>
      <c r="N47" s="38"/>
      <c r="O47" s="534"/>
      <c r="P47" s="534"/>
    </row>
    <row r="48" spans="1:16" ht="21.75" customHeight="1" x14ac:dyDescent="0.45">
      <c r="A48" s="79"/>
      <c r="B48" s="80"/>
      <c r="C48" s="81" t="s">
        <v>16</v>
      </c>
      <c r="D48" s="552" t="s">
        <v>23</v>
      </c>
      <c r="E48" s="55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535"/>
      <c r="N48" s="41"/>
      <c r="O48" s="535"/>
      <c r="P48" s="535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33">
        <f ca="1">IFERROR(__xludf.DUMMYFUNCTION("IMPORTRANGE(""https://docs.google.com/spreadsheets/d/1Yj_ptqi66GCucihVvJfMjLAmec39IyEx_6qawtMGysU/edit?usp=sharing"",""สบก!O49"")"),84600)</f>
        <v>84600</v>
      </c>
      <c r="M49" s="536">
        <f ca="1">L49</f>
        <v>84600</v>
      </c>
      <c r="N49" s="533">
        <f ca="1">IFERROR(__xludf.DUMMYFUNCTION("IMPORTRANGE(""https://docs.google.com/spreadsheets/d/1Yj_ptqi66GCucihVvJfMjLAmec39IyEx_6qawtMGysU/edit?usp=sharing"",""สบก!S49"")"),84600)</f>
        <v>84600</v>
      </c>
      <c r="O49" s="536">
        <f ca="1">IF(L49&gt;0,N49*100/L49,0)</f>
        <v>100</v>
      </c>
      <c r="P49" s="536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76" t="s">
        <v>32</v>
      </c>
      <c r="C52" s="553"/>
      <c r="D52" s="553"/>
      <c r="E52" s="553"/>
      <c r="F52" s="553"/>
      <c r="G52" s="55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77" t="s">
        <v>17</v>
      </c>
      <c r="E53" s="553"/>
      <c r="F53" s="553"/>
      <c r="G53" s="553"/>
      <c r="H53" s="118" t="s">
        <v>12</v>
      </c>
      <c r="I53" s="119"/>
      <c r="J53" s="119"/>
      <c r="K53" s="120"/>
      <c r="L53" s="121">
        <f t="shared" ref="L53:N53" ca="1" si="39">L54+L55</f>
        <v>787200</v>
      </c>
      <c r="M53" s="121">
        <f t="shared" ca="1" si="39"/>
        <v>610650</v>
      </c>
      <c r="N53" s="121">
        <f t="shared" ca="1" si="39"/>
        <v>293754.07</v>
      </c>
      <c r="O53" s="120">
        <f t="shared" ref="O53:O55" ca="1" si="40">IF(L53&gt;0,N53*100/L53,0)</f>
        <v>37.316319867886179</v>
      </c>
      <c r="P53" s="120">
        <f t="shared" ref="P53:P55" ca="1" si="41">IF(M53&gt;0,N53*100/M53,0)</f>
        <v>48.105145336936054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787200</v>
      </c>
      <c r="M55" s="121">
        <f t="shared" ca="1" si="43"/>
        <v>610650</v>
      </c>
      <c r="N55" s="121">
        <f t="shared" ca="1" si="43"/>
        <v>293754.07</v>
      </c>
      <c r="O55" s="120">
        <f t="shared" ca="1" si="40"/>
        <v>37.316319867886179</v>
      </c>
      <c r="P55" s="120">
        <f t="shared" ca="1" si="41"/>
        <v>48.105145336936054</v>
      </c>
    </row>
    <row r="56" spans="1:16" ht="21.75" customHeight="1" x14ac:dyDescent="0.45">
      <c r="A56" s="79"/>
      <c r="B56" s="80"/>
      <c r="C56" s="81" t="s">
        <v>16</v>
      </c>
      <c r="D56" s="552" t="s">
        <v>20</v>
      </c>
      <c r="E56" s="553"/>
      <c r="F56" s="55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787200</v>
      </c>
      <c r="M57" s="533">
        <f ca="1">IFERROR(__xludf.DUMMYFUNCTION("IMPORTRANGE(""https://docs.google.com/spreadsheets/d/1Yj_ptqi66GCucihVvJfMjLAmec39IyEx_6qawtMGysU/edit?usp=sharing"",""สบก!Z49"")"),610650)</f>
        <v>610650</v>
      </c>
      <c r="N57" s="533">
        <f ca="1">IFERROR(__xludf.DUMMYFUNCTION("IMPORTRANGE(""https://docs.google.com/spreadsheets/d/1Yj_ptqi66GCucihVvJfMjLAmec39IyEx_6qawtMGysU/edit?usp=sharing"",""สบก!AA49"")"),293754.07)</f>
        <v>293754.07</v>
      </c>
      <c r="O57" s="534">
        <f ca="1">IF(L57&gt;0,N57*100/L57,0)</f>
        <v>37.316319867886179</v>
      </c>
      <c r="P57" s="534">
        <f ca="1">IF(M57&gt;0,N57*100/M57,0)</f>
        <v>48.105145336936054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533">
        <f ca="1">IFERROR(__xludf.DUMMYFUNCTION("IMPORTRANGE(""https://docs.google.com/spreadsheets/d/1Yj_ptqi66GCucihVvJfMjLAmec39IyEx_6qawtMGysU/edit?usp=sharing"",""สบก!V49"")"),787200)</f>
        <v>787200</v>
      </c>
      <c r="M58" s="535"/>
      <c r="N58" s="38"/>
      <c r="O58" s="534"/>
      <c r="P58" s="534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533">
        <f ca="1">IFERROR(__xludf.DUMMYFUNCTION("IMPORTRANGE(""https://docs.google.com/spreadsheets/d/1Yj_ptqi66GCucihVvJfMjLAmec39IyEx_6qawtMGysU/edit?usp=sharing"",""สบก!W49"")"),0)</f>
        <v>0</v>
      </c>
      <c r="M59" s="535"/>
      <c r="N59" s="38"/>
      <c r="O59" s="534"/>
      <c r="P59" s="534"/>
    </row>
    <row r="60" spans="1:16" ht="21.75" customHeight="1" x14ac:dyDescent="0.45">
      <c r="A60" s="79"/>
      <c r="B60" s="80"/>
      <c r="C60" s="81" t="s">
        <v>16</v>
      </c>
      <c r="D60" s="552" t="s">
        <v>23</v>
      </c>
      <c r="E60" s="55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535"/>
      <c r="N60" s="41"/>
      <c r="O60" s="535"/>
      <c r="P60" s="535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33">
        <f ca="1">IFERROR(__xludf.DUMMYFUNCTION("IMPORTRANGE(""https://docs.google.com/spreadsheets/d/1Yj_ptqi66GCucihVvJfMjLAmec39IyEx_6qawtMGysU/edit?usp=sharing"",""สบก!X49"")"),0)</f>
        <v>0</v>
      </c>
      <c r="M61" s="536"/>
      <c r="N61" s="533">
        <f ca="1">IFERROR(__xludf.DUMMYFUNCTION("IMPORTRANGE(""https://docs.google.com/spreadsheets/d/1Yj_ptqi66GCucihVvJfMjLAmec39IyEx_6qawtMGysU/edit?usp=sharing"",""สบก!AB49"")"),0)</f>
        <v>0</v>
      </c>
      <c r="O61" s="536">
        <f ca="1">IF(L61&gt;0,N61*100/L61,0)</f>
        <v>0</v>
      </c>
      <c r="P61" s="536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IFERROR(__xludf.DUMMYFUNCTION("IMPORTRANGE(""https://docs.google.com/spreadsheets/d/1XL5vhW3sbDhbH9Cz0tuDiY8C3ctxq1tqvaCgkFb8cCA/edit?usp=sharing"",""เลย!I9"")"),0)</f>
        <v>0</v>
      </c>
      <c r="J64" s="142">
        <f ca="1">IFERROR(__xludf.DUMMYFUNCTION("IMPORTRANGE(""https://docs.google.com/spreadsheets/d/1XL5vhW3sbDhbH9Cz0tuDiY8C3ctxq1tqvaCgkFb8cCA/edit?usp=sharing"",""เลย!J9"")"),0)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IFERROR(__xludf.DUMMYFUNCTION("IMPORTRANGE(""https://docs.google.com/spreadsheets/d/1XL5vhW3sbDhbH9Cz0tuDiY8C3ctxq1tqvaCgkFb8cCA/edit?usp=sharing"",""เลย!I10"")"),0)</f>
        <v>0</v>
      </c>
      <c r="J65" s="142">
        <f ca="1">IFERROR(__xludf.DUMMYFUNCTION("IMPORTRANGE(""https://docs.google.com/spreadsheets/d/1XL5vhW3sbDhbH9Cz0tuDiY8C3ctxq1tqvaCgkFb8cCA/edit?usp=sharing"",""เลย!J10"")"),0)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54" t="s">
        <v>17</v>
      </c>
      <c r="E66" s="555"/>
      <c r="F66" s="555"/>
      <c r="G66" s="55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52" t="s">
        <v>20</v>
      </c>
      <c r="E69" s="553"/>
      <c r="F69" s="55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537">
        <f ca="1">IFERROR(__xludf.DUMMYFUNCTION("IMPORTRANGE(""https://docs.google.com/spreadsheets/d/1Yj_ptqi66GCucihVvJfMjLAmec39IyEx_6qawtMGysU/edit?usp=sharing"",""สบก!AI49"")"),0)</f>
        <v>0</v>
      </c>
      <c r="N70" s="538">
        <f ca="1">IFERROR(__xludf.DUMMYFUNCTION("IMPORTRANGE(""https://docs.google.com/spreadsheets/d/1Yj_ptqi66GCucihVvJfMjLAmec39IyEx_6qawtMGysU/edit?usp=sharing"",""สบก!AJ49"")"),0)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537">
        <f ca="1">IFERROR(__xludf.DUMMYFUNCTION("IMPORTRANGE(""https://docs.google.com/spreadsheets/d/1Yj_ptqi66GCucihVvJfMjLAmec39IyEx_6qawtMGysU/edit?usp=sharing"",""สบก!AE49"")"),0)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537">
        <f ca="1">IFERROR(__xludf.DUMMYFUNCTION("IMPORTRANGE(""https://docs.google.com/spreadsheets/d/1Yj_ptqi66GCucihVvJfMjLAmec39IyEx_6qawtMGysU/edit?usp=sharing"",""สบก!AF49"")"),0)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52" t="s">
        <v>23</v>
      </c>
      <c r="E73" s="553"/>
      <c r="F73" s="89"/>
      <c r="G73" s="82" t="s">
        <v>18</v>
      </c>
      <c r="H73" s="172" t="s">
        <v>12</v>
      </c>
      <c r="I73" s="84"/>
      <c r="J73" s="84"/>
      <c r="K73" s="85"/>
      <c r="L73" s="535">
        <v>0</v>
      </c>
      <c r="M73" s="535"/>
      <c r="N73" s="41"/>
      <c r="O73" s="535"/>
      <c r="P73" s="535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533">
        <f ca="1">IFERROR(__xludf.DUMMYFUNCTION("IMPORTRANGE(""https://docs.google.com/spreadsheets/d/1Yj_ptqi66GCucihVvJfMjLAmec39IyEx_6qawtMGysU/edit?usp=sharing"",""สบก!AG49"")"),0)</f>
        <v>0</v>
      </c>
      <c r="M74" s="536"/>
      <c r="N74" s="533">
        <f ca="1">IFERROR(__xludf.DUMMYFUNCTION("IMPORTRANGE(""https://docs.google.com/spreadsheets/d/1Yj_ptqi66GCucihVvJfMjLAmec39IyEx_6qawtMGysU/edit?usp=sharing"",""สบก!AK49"")"),0)</f>
        <v>0</v>
      </c>
      <c r="O74" s="536">
        <f ca="1">IF(L74&gt;0,N74*100/L74,0)</f>
        <v>0</v>
      </c>
      <c r="P74" s="536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IFERROR(__xludf.DUMMYFUNCTION("IMPORTRANGE(""https://docs.google.com/spreadsheets/d/1XL5vhW3sbDhbH9Cz0tuDiY8C3ctxq1tqvaCgkFb8cCA/edit?usp=sharing"",""เลย!J16"")"),0)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IFERROR(__xludf.DUMMYFUNCTION("IMPORTRANGE(""https://docs.google.com/spreadsheets/d/1XL5vhW3sbDhbH9Cz0tuDiY8C3ctxq1tqvaCgkFb8cCA/edit?usp=sharing"",""เลย!J17"")"),0)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IFERROR(__xludf.DUMMYFUNCTION("IMPORTRANGE(""https://docs.google.com/spreadsheets/d/1XL5vhW3sbDhbH9Cz0tuDiY8C3ctxq1tqvaCgkFb8cCA/edit?usp=sharing"",""เลย!J18"")"),0)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IFERROR(__xludf.DUMMYFUNCTION("IMPORTRANGE(""https://docs.google.com/spreadsheets/d/1XL5vhW3sbDhbH9Cz0tuDiY8C3ctxq1tqvaCgkFb8cCA/edit?usp=sharing"",""เลย!J19"")"),0)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IFERROR(__xludf.DUMMYFUNCTION("IMPORTRANGE(""https://docs.google.com/spreadsheets/d/1XL5vhW3sbDhbH9Cz0tuDiY8C3ctxq1tqvaCgkFb8cCA/edit?usp=sharing"",""เลย!I20"")"),0)</f>
        <v>0</v>
      </c>
      <c r="J80" s="201">
        <f ca="1">IFERROR(__xludf.DUMMYFUNCTION("IMPORTRANGE(""https://docs.google.com/spreadsheets/d/1XL5vhW3sbDhbH9Cz0tuDiY8C3ctxq1tqvaCgkFb8cCA/edit?usp=sharing"",""เลย!J20"")"),0)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IFERROR(__xludf.DUMMYFUNCTION("IMPORTRANGE(""https://docs.google.com/spreadsheets/d/1XL5vhW3sbDhbH9Cz0tuDiY8C3ctxq1tqvaCgkFb8cCA/edit?usp=sharing"",""เลย!I21"")"),0)</f>
        <v>0</v>
      </c>
      <c r="J81" s="201">
        <f ca="1">IFERROR(__xludf.DUMMYFUNCTION("IMPORTRANGE(""https://docs.google.com/spreadsheets/d/1XL5vhW3sbDhbH9Cz0tuDiY8C3ctxq1tqvaCgkFb8cCA/edit?usp=sharing"",""เลย!J21"")"),0)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IFERROR(__xludf.DUMMYFUNCTION("IMPORTRANGE(""https://docs.google.com/spreadsheets/d/1XL5vhW3sbDhbH9Cz0tuDiY8C3ctxq1tqvaCgkFb8cCA/edit?usp=sharing"",""เลย!I22"")"),0)</f>
        <v>0</v>
      </c>
      <c r="J82" s="204">
        <f ca="1">IFERROR(__xludf.DUMMYFUNCTION("IMPORTRANGE(""https://docs.google.com/spreadsheets/d/1XL5vhW3sbDhbH9Cz0tuDiY8C3ctxq1tqvaCgkFb8cCA/edit?usp=sharing"",""เลย!J22"")"),0)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IFERROR(__xludf.DUMMYFUNCTION("IMPORTRANGE(""https://docs.google.com/spreadsheets/d/1XL5vhW3sbDhbH9Cz0tuDiY8C3ctxq1tqvaCgkFb8cCA/edit?usp=sharing"",""เลย!I23"")"),0)</f>
        <v>0</v>
      </c>
      <c r="J83" s="204">
        <f ca="1">IFERROR(__xludf.DUMMYFUNCTION("IMPORTRANGE(""https://docs.google.com/spreadsheets/d/1XL5vhW3sbDhbH9Cz0tuDiY8C3ctxq1tqvaCgkFb8cCA/edit?usp=sharing"",""เลย!J23"")"),0)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IFERROR(__xludf.DUMMYFUNCTION("IMPORTRANGE(""https://docs.google.com/spreadsheets/d/1XL5vhW3sbDhbH9Cz0tuDiY8C3ctxq1tqvaCgkFb8cCA/edit?usp=sharing"",""เลย!I24"")"),0)</f>
        <v>0</v>
      </c>
      <c r="J84" s="189">
        <f ca="1">IFERROR(__xludf.DUMMYFUNCTION("IMPORTRANGE(""https://docs.google.com/spreadsheets/d/1XL5vhW3sbDhbH9Cz0tuDiY8C3ctxq1tqvaCgkFb8cCA/edit?usp=sharing"",""เลย!J24"")"),0)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IFERROR(__xludf.DUMMYFUNCTION("IMPORTRANGE(""https://docs.google.com/spreadsheets/d/1XL5vhW3sbDhbH9Cz0tuDiY8C3ctxq1tqvaCgkFb8cCA/edit?usp=sharing"",""เลย!I25"")"),0)</f>
        <v>0</v>
      </c>
      <c r="J85" s="189">
        <f ca="1">IFERROR(__xludf.DUMMYFUNCTION("IMPORTRANGE(""https://docs.google.com/spreadsheets/d/1XL5vhW3sbDhbH9Cz0tuDiY8C3ctxq1tqvaCgkFb8cCA/edit?usp=sharing"",""เลย!J25"")"),0)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IFERROR(__xludf.DUMMYFUNCTION("IMPORTRANGE(""https://docs.google.com/spreadsheets/d/1XL5vhW3sbDhbH9Cz0tuDiY8C3ctxq1tqvaCgkFb8cCA/edit?usp=sharing"",""เลย!I26"")"),0)</f>
        <v>0</v>
      </c>
      <c r="J86" s="204">
        <f ca="1">IFERROR(__xludf.DUMMYFUNCTION("IMPORTRANGE(""https://docs.google.com/spreadsheets/d/1XL5vhW3sbDhbH9Cz0tuDiY8C3ctxq1tqvaCgkFb8cCA/edit?usp=sharing"",""เลย!J26"")"),0)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IFERROR(__xludf.DUMMYFUNCTION("IMPORTRANGE(""https://docs.google.com/spreadsheets/d/1XL5vhW3sbDhbH9Cz0tuDiY8C3ctxq1tqvaCgkFb8cCA/edit?usp=sharing"",""เลย!I27"")"),0)</f>
        <v>0</v>
      </c>
      <c r="J87" s="204">
        <f ca="1">IFERROR(__xludf.DUMMYFUNCTION("IMPORTRANGE(""https://docs.google.com/spreadsheets/d/1XL5vhW3sbDhbH9Cz0tuDiY8C3ctxq1tqvaCgkFb8cCA/edit?usp=sharing"",""เลย!J27"")"),0)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IFERROR(__xludf.DUMMYFUNCTION("IMPORTRANGE(""https://docs.google.com/spreadsheets/d/1XL5vhW3sbDhbH9Cz0tuDiY8C3ctxq1tqvaCgkFb8cCA/edit?usp=sharing"",""เลย!I28"")"),0)</f>
        <v>0</v>
      </c>
      <c r="J88" s="204">
        <f ca="1">IFERROR(__xludf.DUMMYFUNCTION("IMPORTRANGE(""https://docs.google.com/spreadsheets/d/1XL5vhW3sbDhbH9Cz0tuDiY8C3ctxq1tqvaCgkFb8cCA/edit?usp=sharing"",""เลย!J28"")"),0)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IFERROR(__xludf.DUMMYFUNCTION("IMPORTRANGE(""https://docs.google.com/spreadsheets/d/1XL5vhW3sbDhbH9Cz0tuDiY8C3ctxq1tqvaCgkFb8cCA/edit?usp=sharing"",""เลย!J29"")"),0)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IFERROR(__xludf.DUMMYFUNCTION("IMPORTRANGE(""https://docs.google.com/spreadsheets/d/1XL5vhW3sbDhbH9Cz0tuDiY8C3ctxq1tqvaCgkFb8cCA/edit?usp=sharing"",""เลย!J30"")"),0)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IFERROR(__xludf.DUMMYFUNCTION("IMPORTRANGE(""https://docs.google.com/spreadsheets/d/1XL5vhW3sbDhbH9Cz0tuDiY8C3ctxq1tqvaCgkFb8cCA/edit?usp=sharing"",""เลย!I32"")"),4)</f>
        <v>4</v>
      </c>
      <c r="J92" s="142">
        <f ca="1">IFERROR(__xludf.DUMMYFUNCTION("IMPORTRANGE(""https://docs.google.com/spreadsheets/d/1XL5vhW3sbDhbH9Cz0tuDiY8C3ctxq1tqvaCgkFb8cCA/edit?usp=sharing"",""เลย!J32"")"),4)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IFERROR(__xludf.DUMMYFUNCTION("IMPORTRANGE(""https://docs.google.com/spreadsheets/d/1XL5vhW3sbDhbH9Cz0tuDiY8C3ctxq1tqvaCgkFb8cCA/edit?usp=sharing"",""เลย!I33"")"),1)</f>
        <v>1</v>
      </c>
      <c r="J93" s="142">
        <f ca="1">IFERROR(__xludf.DUMMYFUNCTION("IMPORTRANGE(""https://docs.google.com/spreadsheets/d/1XL5vhW3sbDhbH9Cz0tuDiY8C3ctxq1tqvaCgkFb8cCA/edit?usp=sharing"",""เลย!J33"")"),0)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54" t="s">
        <v>17</v>
      </c>
      <c r="E94" s="555"/>
      <c r="F94" s="555"/>
      <c r="G94" s="555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126478</v>
      </c>
      <c r="O94" s="151">
        <f t="shared" ref="O94:O96" ca="1" si="53">IF(L94&gt;0,N94*100/L94,0)</f>
        <v>58.964102564102561</v>
      </c>
      <c r="P94" s="151">
        <f t="shared" ref="P94:P96" ca="1" si="54">IF(M94&gt;0,N94*100/M94,0)</f>
        <v>58.964102564102561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126478</v>
      </c>
      <c r="O96" s="156">
        <f t="shared" ca="1" si="53"/>
        <v>58.964102564102561</v>
      </c>
      <c r="P96" s="156">
        <f t="shared" ca="1" si="54"/>
        <v>58.964102564102561</v>
      </c>
    </row>
    <row r="97" spans="1:16" ht="21.75" customHeight="1" x14ac:dyDescent="0.45">
      <c r="A97" s="158"/>
      <c r="B97" s="159"/>
      <c r="C97" s="159" t="s">
        <v>16</v>
      </c>
      <c r="D97" s="552" t="s">
        <v>20</v>
      </c>
      <c r="E97" s="553"/>
      <c r="F97" s="55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537">
        <f ca="1">IFERROR(__xludf.DUMMYFUNCTION("IMPORTRANGE(""https://docs.google.com/spreadsheets/d/1Yj_ptqi66GCucihVvJfMjLAmec39IyEx_6qawtMGysU/edit?usp=sharing"",""สบก!AR49"")"),122100)</f>
        <v>122100</v>
      </c>
      <c r="N98" s="538">
        <f ca="1">IFERROR(__xludf.DUMMYFUNCTION("IMPORTRANGE(""https://docs.google.com/spreadsheets/d/1Yj_ptqi66GCucihVvJfMjLAmec39IyEx_6qawtMGysU/edit?usp=sharing"",""สบก!AS49"")"),34078)</f>
        <v>34078</v>
      </c>
      <c r="O98" s="169">
        <f ca="1">IF(L98&gt;0,N98*100/L98,0)</f>
        <v>27.90990990990991</v>
      </c>
      <c r="P98" s="169">
        <f ca="1">IF(M98&gt;0,N98*100/M98,0)</f>
        <v>27.90990990990991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537">
        <f ca="1">IFERROR(__xludf.DUMMYFUNCTION("IMPORTRANGE(""https://docs.google.com/spreadsheets/d/1Yj_ptqi66GCucihVvJfMjLAmec39IyEx_6qawtMGysU/edit?usp=sharing"",""สบก!AN49"")"),0)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537">
        <f ca="1">IFERROR(__xludf.DUMMYFUNCTION("IMPORTRANGE(""https://docs.google.com/spreadsheets/d/1Yj_ptqi66GCucihVvJfMjLAmec39IyEx_6qawtMGysU/edit?usp=sharing"",""สบก!AO49"")"),122100)</f>
        <v>122100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52" t="s">
        <v>23</v>
      </c>
      <c r="E101" s="553"/>
      <c r="F101" s="89"/>
      <c r="G101" s="82" t="s">
        <v>18</v>
      </c>
      <c r="H101" s="172" t="s">
        <v>12</v>
      </c>
      <c r="I101" s="188"/>
      <c r="J101" s="188"/>
      <c r="K101" s="224"/>
      <c r="L101" s="535">
        <v>0</v>
      </c>
      <c r="M101" s="535"/>
      <c r="N101" s="41"/>
      <c r="O101" s="535"/>
      <c r="P101" s="535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533">
        <f ca="1">IFERROR(__xludf.DUMMYFUNCTION("IMPORTRANGE(""https://docs.google.com/spreadsheets/d/1Yj_ptqi66GCucihVvJfMjLAmec39IyEx_6qawtMGysU/edit?usp=sharing"",""สบก!AP49"")"),92400)</f>
        <v>92400</v>
      </c>
      <c r="M102" s="536">
        <f ca="1">L102</f>
        <v>92400</v>
      </c>
      <c r="N102" s="533">
        <f ca="1">IFERROR(__xludf.DUMMYFUNCTION("IMPORTRANGE(""https://docs.google.com/spreadsheets/d/1Yj_ptqi66GCucihVvJfMjLAmec39IyEx_6qawtMGysU/edit?usp=sharing"",""สบก!AT49"")"),92400)</f>
        <v>92400</v>
      </c>
      <c r="O102" s="536">
        <f ca="1">IF(L102&gt;0,N102*100/L102,0)</f>
        <v>100</v>
      </c>
      <c r="P102" s="536">
        <f ca="1">IF(M102&gt;0,N102*100/M102,0)</f>
        <v>100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IFERROR(__xludf.DUMMYFUNCTION("IMPORTRANGE(""https://docs.google.com/spreadsheets/d/1XL5vhW3sbDhbH9Cz0tuDiY8C3ctxq1tqvaCgkFb8cCA/edit?usp=sharing"",""เลย!J39"")"),0)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IFERROR(__xludf.DUMMYFUNCTION("IMPORTRANGE(""https://docs.google.com/spreadsheets/d/1XL5vhW3sbDhbH9Cz0tuDiY8C3ctxq1tqvaCgkFb8cCA/edit?usp=sharing"",""เลย!J40"")"),1)</f>
        <v>1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IFERROR(__xludf.DUMMYFUNCTION("IMPORTRANGE(""https://docs.google.com/spreadsheets/d/1XL5vhW3sbDhbH9Cz0tuDiY8C3ctxq1tqvaCgkFb8cCA/edit?usp=sharing"",""เลย!J41"")"),1)</f>
        <v>1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IFERROR(__xludf.DUMMYFUNCTION("IMPORTRANGE(""https://docs.google.com/spreadsheets/d/1XL5vhW3sbDhbH9Cz0tuDiY8C3ctxq1tqvaCgkFb8cCA/edit?usp=sharing"",""เลย!J42"")"),1)</f>
        <v>1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IFERROR(__xludf.DUMMYFUNCTION("IMPORTRANGE(""https://docs.google.com/spreadsheets/d/1XL5vhW3sbDhbH9Cz0tuDiY8C3ctxq1tqvaCgkFb8cCA/edit?usp=sharing"",""เลย!I43"")"),1)</f>
        <v>1</v>
      </c>
      <c r="J108" s="204">
        <f ca="1">IFERROR(__xludf.DUMMYFUNCTION("IMPORTRANGE(""https://docs.google.com/spreadsheets/d/1XL5vhW3sbDhbH9Cz0tuDiY8C3ctxq1tqvaCgkFb8cCA/edit?usp=sharing"",""เลย!J43"")"),1)</f>
        <v>1</v>
      </c>
      <c r="K108" s="224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IFERROR(__xludf.DUMMYFUNCTION("IMPORTRANGE(""https://docs.google.com/spreadsheets/d/1XL5vhW3sbDhbH9Cz0tuDiY8C3ctxq1tqvaCgkFb8cCA/edit?usp=sharing"",""เลย!I44"")"),4)</f>
        <v>4</v>
      </c>
      <c r="J109" s="204">
        <f ca="1">IFERROR(__xludf.DUMMYFUNCTION("IMPORTRANGE(""https://docs.google.com/spreadsheets/d/1XL5vhW3sbDhbH9Cz0tuDiY8C3ctxq1tqvaCgkFb8cCA/edit?usp=sharing"",""เลย!J44"")"),4)</f>
        <v>4</v>
      </c>
      <c r="K109" s="224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IFERROR(__xludf.DUMMYFUNCTION("IMPORTRANGE(""https://docs.google.com/spreadsheets/d/1XL5vhW3sbDhbH9Cz0tuDiY8C3ctxq1tqvaCgkFb8cCA/edit?usp=sharing"",""เลย!I45"")"),4)</f>
        <v>4</v>
      </c>
      <c r="J110" s="204">
        <f ca="1">IFERROR(__xludf.DUMMYFUNCTION("IMPORTRANGE(""https://docs.google.com/spreadsheets/d/1XL5vhW3sbDhbH9Cz0tuDiY8C3ctxq1tqvaCgkFb8cCA/edit?usp=sharing"",""เลย!J45"")"),4)</f>
        <v>4</v>
      </c>
      <c r="K110" s="224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IFERROR(__xludf.DUMMYFUNCTION("IMPORTRANGE(""https://docs.google.com/spreadsheets/d/1XL5vhW3sbDhbH9Cz0tuDiY8C3ctxq1tqvaCgkFb8cCA/edit?usp=sharing"",""เลย!I46"")"),4)</f>
        <v>4</v>
      </c>
      <c r="J111" s="204">
        <f ca="1">IFERROR(__xludf.DUMMYFUNCTION("IMPORTRANGE(""https://docs.google.com/spreadsheets/d/1XL5vhW3sbDhbH9Cz0tuDiY8C3ctxq1tqvaCgkFb8cCA/edit?usp=sharing"",""เลย!J46"")"),4)</f>
        <v>4</v>
      </c>
      <c r="K111" s="224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IFERROR(__xludf.DUMMYFUNCTION("IMPORTRANGE(""https://docs.google.com/spreadsheets/d/1XL5vhW3sbDhbH9Cz0tuDiY8C3ctxq1tqvaCgkFb8cCA/edit?usp=sharing"",""เลย!I47"")"),4)</f>
        <v>4</v>
      </c>
      <c r="J112" s="204">
        <f ca="1">IFERROR(__xludf.DUMMYFUNCTION("IMPORTRANGE(""https://docs.google.com/spreadsheets/d/1XL5vhW3sbDhbH9Cz0tuDiY8C3ctxq1tqvaCgkFb8cCA/edit?usp=sharing"",""เลย!J47"")"),4)</f>
        <v>4</v>
      </c>
      <c r="K112" s="224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IFERROR(__xludf.DUMMYFUNCTION("IMPORTRANGE(""https://docs.google.com/spreadsheets/d/1XL5vhW3sbDhbH9Cz0tuDiY8C3ctxq1tqvaCgkFb8cCA/edit?usp=sharing"",""เลย!I48"")"),1)</f>
        <v>1</v>
      </c>
      <c r="J113" s="204">
        <f ca="1">IFERROR(__xludf.DUMMYFUNCTION("IMPORTRANGE(""https://docs.google.com/spreadsheets/d/1XL5vhW3sbDhbH9Cz0tuDiY8C3ctxq1tqvaCgkFb8cCA/edit?usp=sharing"",""เลย!J48"")"),0)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IFERROR(__xludf.DUMMYFUNCTION("IMPORTRANGE(""https://docs.google.com/spreadsheets/d/1XL5vhW3sbDhbH9Cz0tuDiY8C3ctxq1tqvaCgkFb8cCA/edit?usp=sharing"",""เลย!J49"")"),0)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IFERROR(__xludf.DUMMYFUNCTION("IMPORTRANGE(""https://docs.google.com/spreadsheets/d/1XL5vhW3sbDhbH9Cz0tuDiY8C3ctxq1tqvaCgkFb8cCA/edit?usp=sharing"",""เลย!J50"")"),0)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IFERROR(__xludf.DUMMYFUNCTION("IMPORTRANGE(""https://docs.google.com/spreadsheets/d/1XL5vhW3sbDhbH9Cz0tuDiY8C3ctxq1tqvaCgkFb8cCA/edit?usp=sharing"",""เลย!I52"")"),0)</f>
        <v>0</v>
      </c>
      <c r="J117" s="142">
        <f ca="1">IFERROR(__xludf.DUMMYFUNCTION("IMPORTRANGE(""https://docs.google.com/spreadsheets/d/1XL5vhW3sbDhbH9Cz0tuDiY8C3ctxq1tqvaCgkFb8cCA/edit?usp=sharing"",""เลย!J52"")"),0)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54" t="s">
        <v>17</v>
      </c>
      <c r="E118" s="555"/>
      <c r="F118" s="555"/>
      <c r="G118" s="55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52" t="s">
        <v>20</v>
      </c>
      <c r="E121" s="553"/>
      <c r="F121" s="55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537">
        <f ca="1">IFERROR(__xludf.DUMMYFUNCTION("IMPORTRANGE(""https://docs.google.com/spreadsheets/d/1Yj_ptqi66GCucihVvJfMjLAmec39IyEx_6qawtMGysU/edit?usp=sharing"",""สบก!BA49"")"),0)</f>
        <v>0</v>
      </c>
      <c r="N122" s="538">
        <f ca="1">IFERROR(__xludf.DUMMYFUNCTION("IMPORTRANGE(""https://docs.google.com/spreadsheets/d/1Yj_ptqi66GCucihVvJfMjLAmec39IyEx_6qawtMGysU/edit?usp=sharing"",""สบก!BB49"")"),0)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537">
        <f ca="1">IFERROR(__xludf.DUMMYFUNCTION("IMPORTRANGE(""https://docs.google.com/spreadsheets/d/1Yj_ptqi66GCucihVvJfMjLAmec39IyEx_6qawtMGysU/edit?usp=sharing"",""สบก!AW49"")"),0)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537">
        <f ca="1">IFERROR(__xludf.DUMMYFUNCTION("IMPORTRANGE(""https://docs.google.com/spreadsheets/d/1Yj_ptqi66GCucihVvJfMjLAmec39IyEx_6qawtMGysU/edit?usp=sharing"",""สบก!AX49"")"),0)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52" t="s">
        <v>23</v>
      </c>
      <c r="E125" s="553"/>
      <c r="F125" s="89"/>
      <c r="G125" s="82" t="s">
        <v>18</v>
      </c>
      <c r="H125" s="172" t="s">
        <v>12</v>
      </c>
      <c r="I125" s="188"/>
      <c r="J125" s="188"/>
      <c r="K125" s="224"/>
      <c r="L125" s="535">
        <v>0</v>
      </c>
      <c r="M125" s="535"/>
      <c r="N125" s="41"/>
      <c r="O125" s="535"/>
      <c r="P125" s="535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533">
        <f ca="1">IFERROR(__xludf.DUMMYFUNCTION("IMPORTRANGE(""https://docs.google.com/spreadsheets/d/1Yj_ptqi66GCucihVvJfMjLAmec39IyEx_6qawtMGysU/edit?usp=sharing"",""สบก!AY49"")"),0)</f>
        <v>0</v>
      </c>
      <c r="M126" s="536"/>
      <c r="N126" s="533">
        <f ca="1">IFERROR(__xludf.DUMMYFUNCTION("IMPORTRANGE(""https://docs.google.com/spreadsheets/d/1Yj_ptqi66GCucihVvJfMjLAmec39IyEx_6qawtMGysU/edit?usp=sharing"",""สบก!BC49"")"),0)</f>
        <v>0</v>
      </c>
      <c r="O126" s="536">
        <f ca="1">IF(L126&gt;0,N126*100/L126,0)</f>
        <v>0</v>
      </c>
      <c r="P126" s="536"/>
    </row>
    <row r="127" spans="1:16" ht="21.75" customHeight="1" x14ac:dyDescent="0.35">
      <c r="A127" s="176"/>
      <c r="B127" s="177"/>
      <c r="C127" s="159" t="s">
        <v>16</v>
      </c>
      <c r="D127" s="233" t="s">
        <v>261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IFERROR(__xludf.DUMMYFUNCTION("IMPORTRANGE(""https://docs.google.com/spreadsheets/d/1XL5vhW3sbDhbH9Cz0tuDiY8C3ctxq1tqvaCgkFb8cCA/edit?usp=sharing"",""เลย!J58"")"),0)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IFERROR(__xludf.DUMMYFUNCTION("IMPORTRANGE(""https://docs.google.com/spreadsheets/d/1XL5vhW3sbDhbH9Cz0tuDiY8C3ctxq1tqvaCgkFb8cCA/edit?usp=sharing"",""เลย!J59"")"),0)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IFERROR(__xludf.DUMMYFUNCTION("IMPORTRANGE(""https://docs.google.com/spreadsheets/d/1XL5vhW3sbDhbH9Cz0tuDiY8C3ctxq1tqvaCgkFb8cCA/edit?usp=sharing"",""เลย!J60"")"),0)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IFERROR(__xludf.DUMMYFUNCTION("IMPORTRANGE(""https://docs.google.com/spreadsheets/d/1XL5vhW3sbDhbH9Cz0tuDiY8C3ctxq1tqvaCgkFb8cCA/edit?usp=sharing"",""เลย!J61"")"),0)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IFERROR(__xludf.DUMMYFUNCTION("IMPORTRANGE(""https://docs.google.com/spreadsheets/d/1XL5vhW3sbDhbH9Cz0tuDiY8C3ctxq1tqvaCgkFb8cCA/edit?usp=sharing"",""เลย!I62"")"),0)</f>
        <v>0</v>
      </c>
      <c r="J132" s="204">
        <f ca="1">IFERROR(__xludf.DUMMYFUNCTION("IMPORTRANGE(""https://docs.google.com/spreadsheets/d/1XL5vhW3sbDhbH9Cz0tuDiY8C3ctxq1tqvaCgkFb8cCA/edit?usp=sharing"",""เลย!J62"")"),0)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IFERROR(__xludf.DUMMYFUNCTION("IMPORTRANGE(""https://docs.google.com/spreadsheets/d/1XL5vhW3sbDhbH9Cz0tuDiY8C3ctxq1tqvaCgkFb8cCA/edit?usp=sharing"",""เลย!I63"")"),0)</f>
        <v>0</v>
      </c>
      <c r="J133" s="204">
        <f ca="1">IFERROR(__xludf.DUMMYFUNCTION("IMPORTRANGE(""https://docs.google.com/spreadsheets/d/1XL5vhW3sbDhbH9Cz0tuDiY8C3ctxq1tqvaCgkFb8cCA/edit?usp=sharing"",""เลย!J63"")"),0)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IFERROR(__xludf.DUMMYFUNCTION("IMPORTRANGE(""https://docs.google.com/spreadsheets/d/1XL5vhW3sbDhbH9Cz0tuDiY8C3ctxq1tqvaCgkFb8cCA/edit?usp=sharing"",""เลย!J64"")"),0)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IFERROR(__xludf.DUMMYFUNCTION("IMPORTRANGE(""https://docs.google.com/spreadsheets/d/1XL5vhW3sbDhbH9Cz0tuDiY8C3ctxq1tqvaCgkFb8cCA/edit?usp=sharing"",""เลย!J65"")"),0)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IFERROR(__xludf.DUMMYFUNCTION("IMPORTRANGE(""https://docs.google.com/spreadsheets/d/1XL5vhW3sbDhbH9Cz0tuDiY8C3ctxq1tqvaCgkFb8cCA/edit?usp=sharing"",""เลย!I68"")"),15)</f>
        <v>15</v>
      </c>
      <c r="J138" s="267">
        <f ca="1">IFERROR(__xludf.DUMMYFUNCTION("IMPORTRANGE(""https://docs.google.com/spreadsheets/d/1XL5vhW3sbDhbH9Cz0tuDiY8C3ctxq1tqvaCgkFb8cCA/edit?usp=sharing"",""เลย!J68"")"),15)</f>
        <v>15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54" t="s">
        <v>17</v>
      </c>
      <c r="E140" s="555"/>
      <c r="F140" s="555"/>
      <c r="G140" s="555"/>
      <c r="H140" s="149" t="s">
        <v>12</v>
      </c>
      <c r="I140" s="162"/>
      <c r="J140" s="162"/>
      <c r="K140" s="163"/>
      <c r="L140" s="152">
        <f t="shared" ref="L140:N140" ca="1" si="64">L141+L142</f>
        <v>581800</v>
      </c>
      <c r="M140" s="152">
        <f t="shared" ca="1" si="64"/>
        <v>431025</v>
      </c>
      <c r="N140" s="152">
        <f t="shared" ca="1" si="64"/>
        <v>243259</v>
      </c>
      <c r="O140" s="151">
        <f t="shared" ref="O140:O142" ca="1" si="65">IF(L140&gt;0,N140*100/L140,0)</f>
        <v>41.811447232726024</v>
      </c>
      <c r="P140" s="151">
        <f t="shared" ref="P140:P142" ca="1" si="66">IF(M140&gt;0,N140*100/M140,0)</f>
        <v>56.437329621251671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581800</v>
      </c>
      <c r="M142" s="157">
        <f t="shared" ca="1" si="68"/>
        <v>431025</v>
      </c>
      <c r="N142" s="157">
        <f t="shared" ca="1" si="68"/>
        <v>243259</v>
      </c>
      <c r="O142" s="156">
        <f t="shared" ca="1" si="65"/>
        <v>41.811447232726024</v>
      </c>
      <c r="P142" s="156">
        <f t="shared" ca="1" si="66"/>
        <v>56.437329621251671</v>
      </c>
    </row>
    <row r="143" spans="1:16" ht="21.75" customHeight="1" x14ac:dyDescent="0.45">
      <c r="A143" s="158"/>
      <c r="B143" s="159"/>
      <c r="C143" s="159" t="s">
        <v>16</v>
      </c>
      <c r="D143" s="552" t="s">
        <v>20</v>
      </c>
      <c r="E143" s="553"/>
      <c r="F143" s="55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581800</v>
      </c>
      <c r="M144" s="537">
        <f ca="1">IFERROR(__xludf.DUMMYFUNCTION("IMPORTRANGE(""https://docs.google.com/spreadsheets/d/1Yj_ptqi66GCucihVvJfMjLAmec39IyEx_6qawtMGysU/edit?usp=sharing"",""สบก!BJ49"")"),431025)</f>
        <v>431025</v>
      </c>
      <c r="N144" s="538">
        <f ca="1">IFERROR(__xludf.DUMMYFUNCTION("IMPORTRANGE(""https://docs.google.com/spreadsheets/d/1Yj_ptqi66GCucihVvJfMjLAmec39IyEx_6qawtMGysU/edit?usp=sharing"",""สบก!BK49"")"),243259)</f>
        <v>243259</v>
      </c>
      <c r="O144" s="169">
        <f ca="1">IF(L144&gt;0,N144*100/L144,0)</f>
        <v>41.811447232726024</v>
      </c>
      <c r="P144" s="169">
        <f ca="1">IF(M144&gt;0,N144*100/M144,0)</f>
        <v>56.437329621251671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537">
        <f ca="1">IFERROR(__xludf.DUMMYFUNCTION("IMPORTRANGE(""https://docs.google.com/spreadsheets/d/1Yj_ptqi66GCucihVvJfMjLAmec39IyEx_6qawtMGysU/edit?usp=sharing"",""สบก!BF49"")"),459100)</f>
        <v>459100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537">
        <f ca="1">IFERROR(__xludf.DUMMYFUNCTION("IMPORTRANGE(""https://docs.google.com/spreadsheets/d/1Yj_ptqi66GCucihVvJfMjLAmec39IyEx_6qawtMGysU/edit?usp=sharing"",""สบก!BG49"")"),122700)</f>
        <v>122700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52" t="s">
        <v>23</v>
      </c>
      <c r="E147" s="553"/>
      <c r="F147" s="89"/>
      <c r="G147" s="82" t="s">
        <v>18</v>
      </c>
      <c r="H147" s="172" t="s">
        <v>12</v>
      </c>
      <c r="I147" s="188"/>
      <c r="J147" s="188"/>
      <c r="K147" s="224"/>
      <c r="L147" s="535">
        <v>0</v>
      </c>
      <c r="M147" s="535"/>
      <c r="N147" s="41"/>
      <c r="O147" s="535"/>
      <c r="P147" s="535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533">
        <f ca="1">IFERROR(__xludf.DUMMYFUNCTION("IMPORTRANGE(""https://docs.google.com/spreadsheets/d/1Yj_ptqi66GCucihVvJfMjLAmec39IyEx_6qawtMGysU/edit?usp=sharing"",""สบก!BH49"")"),0)</f>
        <v>0</v>
      </c>
      <c r="M148" s="536"/>
      <c r="N148" s="533">
        <f ca="1">IFERROR(__xludf.DUMMYFUNCTION("IMPORTRANGE(""https://docs.google.com/spreadsheets/d/1Yj_ptqi66GCucihVvJfMjLAmec39IyEx_6qawtMGysU/edit?usp=sharing"",""สบก!BL49"")"),0)</f>
        <v>0</v>
      </c>
      <c r="O148" s="536">
        <f ca="1">IF(L148&gt;0,N148*100/L148,0)</f>
        <v>0</v>
      </c>
      <c r="P148" s="536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IFERROR(__xludf.DUMMYFUNCTION("IMPORTRANGE(""https://docs.google.com/spreadsheets/d/1XL5vhW3sbDhbH9Cz0tuDiY8C3ctxq1tqvaCgkFb8cCA/edit?usp=sharing"",""เลย!I74"")"),4)</f>
        <v>4</v>
      </c>
      <c r="J149" s="275">
        <f ca="1">IFERROR(__xludf.DUMMYFUNCTION("IMPORTRANGE(""https://docs.google.com/spreadsheets/d/1XL5vhW3sbDhbH9Cz0tuDiY8C3ctxq1tqvaCgkFb8cCA/edit?usp=sharing"",""เลย!J74"")"),2)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IFERROR(__xludf.DUMMYFUNCTION("IMPORTRANGE(""https://docs.google.com/spreadsheets/d/1XL5vhW3sbDhbH9Cz0tuDiY8C3ctxq1tqvaCgkFb8cCA/edit?usp=sharing"",""เลย!J79"")"),0)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IFERROR(__xludf.DUMMYFUNCTION("IMPORTRANGE(""https://docs.google.com/spreadsheets/d/1XL5vhW3sbDhbH9Cz0tuDiY8C3ctxq1tqvaCgkFb8cCA/edit?usp=sharing"",""เลย!J80"")"),1)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IFERROR(__xludf.DUMMYFUNCTION("IMPORTRANGE(""https://docs.google.com/spreadsheets/d/1XL5vhW3sbDhbH9Cz0tuDiY8C3ctxq1tqvaCgkFb8cCA/edit?usp=sharing"",""เลย!J81"")"),0)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IFERROR(__xludf.DUMMYFUNCTION("IMPORTRANGE(""https://docs.google.com/spreadsheets/d/1XL5vhW3sbDhbH9Cz0tuDiY8C3ctxq1tqvaCgkFb8cCA/edit?usp=sharing"",""เลย!J82"")"),0)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IFERROR(__xludf.DUMMYFUNCTION("IMPORTRANGE(""https://docs.google.com/spreadsheets/d/1XL5vhW3sbDhbH9Cz0tuDiY8C3ctxq1tqvaCgkFb8cCA/edit?usp=sharing"",""เลย!I83"")"),4)</f>
        <v>4</v>
      </c>
      <c r="J158" s="189">
        <f ca="1">IFERROR(__xludf.DUMMYFUNCTION("IMPORTRANGE(""https://docs.google.com/spreadsheets/d/1XL5vhW3sbDhbH9Cz0tuDiY8C3ctxq1tqvaCgkFb8cCA/edit?usp=sharing"",""เลย!J83"")"),2)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IFERROR(__xludf.DUMMYFUNCTION("IMPORTRANGE(""https://docs.google.com/spreadsheets/d/1XL5vhW3sbDhbH9Cz0tuDiY8C3ctxq1tqvaCgkFb8cCA/edit?usp=sharing"",""เลย!J84"")"),107)</f>
        <v>107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IFERROR(__xludf.DUMMYFUNCTION("IMPORTRANGE(""https://docs.google.com/spreadsheets/d/1XL5vhW3sbDhbH9Cz0tuDiY8C3ctxq1tqvaCgkFb8cCA/edit?usp=sharing"",""เลย!J85"")"),107)</f>
        <v>107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IFERROR(__xludf.DUMMYFUNCTION("IMPORTRANGE(""https://docs.google.com/spreadsheets/d/1XL5vhW3sbDhbH9Cz0tuDiY8C3ctxq1tqvaCgkFb8cCA/edit?usp=sharing"",""เลย!J86"")"),0)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IFERROR(__xludf.DUMMYFUNCTION("IMPORTRANGE(""https://docs.google.com/spreadsheets/d/1XL5vhW3sbDhbH9Cz0tuDiY8C3ctxq1tqvaCgkFb8cCA/edit?usp=sharing"",""เลย!J87"")"),0)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IFERROR(__xludf.DUMMYFUNCTION("IMPORTRANGE(""https://docs.google.com/spreadsheets/d/1XL5vhW3sbDhbH9Cz0tuDiY8C3ctxq1tqvaCgkFb8cCA/edit?usp=sharing"",""เลย!J88"")"),0)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IFERROR(__xludf.DUMMYFUNCTION("IMPORTRANGE(""https://docs.google.com/spreadsheets/d/1XL5vhW3sbDhbH9Cz0tuDiY8C3ctxq1tqvaCgkFb8cCA/edit?usp=sharing"",""เลย!I89"")"),2)</f>
        <v>2</v>
      </c>
      <c r="J164" s="284">
        <f ca="1">IFERROR(__xludf.DUMMYFUNCTION("IMPORTRANGE(""https://docs.google.com/spreadsheets/d/1XL5vhW3sbDhbH9Cz0tuDiY8C3ctxq1tqvaCgkFb8cCA/edit?usp=sharing"",""เลย!J89"")"),2)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IFERROR(__xludf.DUMMYFUNCTION("IMPORTRANGE(""https://docs.google.com/spreadsheets/d/1XL5vhW3sbDhbH9Cz0tuDiY8C3ctxq1tqvaCgkFb8cCA/edit?usp=sharing"",""เลย!J94"")"),0)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IFERROR(__xludf.DUMMYFUNCTION("IMPORTRANGE(""https://docs.google.com/spreadsheets/d/1XL5vhW3sbDhbH9Cz0tuDiY8C3ctxq1tqvaCgkFb8cCA/edit?usp=sharing"",""เลย!J95"")"),1)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IFERROR(__xludf.DUMMYFUNCTION("IMPORTRANGE(""https://docs.google.com/spreadsheets/d/1XL5vhW3sbDhbH9Cz0tuDiY8C3ctxq1tqvaCgkFb8cCA/edit?usp=sharing"",""เลย!J96"")"),1)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IFERROR(__xludf.DUMMYFUNCTION("IMPORTRANGE(""https://docs.google.com/spreadsheets/d/1XL5vhW3sbDhbH9Cz0tuDiY8C3ctxq1tqvaCgkFb8cCA/edit?usp=sharing"",""เลย!J97"")"),0)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IFERROR(__xludf.DUMMYFUNCTION("IMPORTRANGE(""https://docs.google.com/spreadsheets/d/1XL5vhW3sbDhbH9Cz0tuDiY8C3ctxq1tqvaCgkFb8cCA/edit?usp=sharing"",""เลย!I98"")"),2)</f>
        <v>2</v>
      </c>
      <c r="J173" s="189">
        <f ca="1">IFERROR(__xludf.DUMMYFUNCTION("IMPORTRANGE(""https://docs.google.com/spreadsheets/d/1XL5vhW3sbDhbH9Cz0tuDiY8C3ctxq1tqvaCgkFb8cCA/edit?usp=sharing"",""เลย!J98"")"),2)</f>
        <v>2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IFERROR(__xludf.DUMMYFUNCTION("IMPORTRANGE(""https://docs.google.com/spreadsheets/d/1XL5vhW3sbDhbH9Cz0tuDiY8C3ctxq1tqvaCgkFb8cCA/edit?usp=sharing"",""เลย!J99"")"),0)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IFERROR(__xludf.DUMMYFUNCTION("IMPORTRANGE(""https://docs.google.com/spreadsheets/d/1XL5vhW3sbDhbH9Cz0tuDiY8C3ctxq1tqvaCgkFb8cCA/edit?usp=sharing"",""เลย!J100"")"),0)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IFERROR(__xludf.DUMMYFUNCTION("IMPORTRANGE(""https://docs.google.com/spreadsheets/d/1XL5vhW3sbDhbH9Cz0tuDiY8C3ctxq1tqvaCgkFb8cCA/edit?usp=sharing"",""เลย!I101"")"),2)</f>
        <v>2</v>
      </c>
      <c r="J176" s="284">
        <f ca="1">IFERROR(__xludf.DUMMYFUNCTION("IMPORTRANGE(""https://docs.google.com/spreadsheets/d/1XL5vhW3sbDhbH9Cz0tuDiY8C3ctxq1tqvaCgkFb8cCA/edit?usp=sharing"",""เลย!J101"")"),2)</f>
        <v>2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IFERROR(__xludf.DUMMYFUNCTION("IMPORTRANGE(""https://docs.google.com/spreadsheets/d/1XL5vhW3sbDhbH9Cz0tuDiY8C3ctxq1tqvaCgkFb8cCA/edit?usp=sharing"",""เลย!J106"")"),0)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IFERROR(__xludf.DUMMYFUNCTION("IMPORTRANGE(""https://docs.google.com/spreadsheets/d/1XL5vhW3sbDhbH9Cz0tuDiY8C3ctxq1tqvaCgkFb8cCA/edit?usp=sharing"",""เลย!J107"")"),1)</f>
        <v>1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IFERROR(__xludf.DUMMYFUNCTION("IMPORTRANGE(""https://docs.google.com/spreadsheets/d/1XL5vhW3sbDhbH9Cz0tuDiY8C3ctxq1tqvaCgkFb8cCA/edit?usp=sharing"",""เลย!J108"")"),0)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IFERROR(__xludf.DUMMYFUNCTION("IMPORTRANGE(""https://docs.google.com/spreadsheets/d/1XL5vhW3sbDhbH9Cz0tuDiY8C3ctxq1tqvaCgkFb8cCA/edit?usp=sharing"",""เลย!J109"")"),0)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IFERROR(__xludf.DUMMYFUNCTION("IMPORTRANGE(""https://docs.google.com/spreadsheets/d/1XL5vhW3sbDhbH9Cz0tuDiY8C3ctxq1tqvaCgkFb8cCA/edit?usp=sharing"",""เลย!I110"")"),2)</f>
        <v>2</v>
      </c>
      <c r="J185" s="204">
        <f ca="1">IFERROR(__xludf.DUMMYFUNCTION("IMPORTRANGE(""https://docs.google.com/spreadsheets/d/1XL5vhW3sbDhbH9Cz0tuDiY8C3ctxq1tqvaCgkFb8cCA/edit?usp=sharing"",""เลย!J110"")"),0)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IFERROR(__xludf.DUMMYFUNCTION("IMPORTRANGE(""https://docs.google.com/spreadsheets/d/1XL5vhW3sbDhbH9Cz0tuDiY8C3ctxq1tqvaCgkFb8cCA/edit?usp=sharing"",""เลย!I111"")"),2)</f>
        <v>2</v>
      </c>
      <c r="J186" s="204">
        <f ca="1">IFERROR(__xludf.DUMMYFUNCTION("IMPORTRANGE(""https://docs.google.com/spreadsheets/d/1XL5vhW3sbDhbH9Cz0tuDiY8C3ctxq1tqvaCgkFb8cCA/edit?usp=sharing"",""เลย!J111"")"),2)</f>
        <v>2</v>
      </c>
      <c r="K186" s="224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IFERROR(__xludf.DUMMYFUNCTION("IMPORTRANGE(""https://docs.google.com/spreadsheets/d/1XL5vhW3sbDhbH9Cz0tuDiY8C3ctxq1tqvaCgkFb8cCA/edit?usp=sharing"",""เลย!J112"")"),0)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IFERROR(__xludf.DUMMYFUNCTION("IMPORTRANGE(""https://docs.google.com/spreadsheets/d/1XL5vhW3sbDhbH9Cz0tuDiY8C3ctxq1tqvaCgkFb8cCA/edit?usp=sharing"",""เลย!J113"")"),0)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IFERROR(__xludf.DUMMYFUNCTION("IMPORTRANGE(""https://docs.google.com/spreadsheets/d/1XL5vhW3sbDhbH9Cz0tuDiY8C3ctxq1tqvaCgkFb8cCA/edit?usp=sharing"",""เลย!I114"")"),128000)</f>
        <v>128000</v>
      </c>
      <c r="J189" s="284">
        <f ca="1">IFERROR(__xludf.DUMMYFUNCTION("IMPORTRANGE(""https://docs.google.com/spreadsheets/d/1XL5vhW3sbDhbH9Cz0tuDiY8C3ctxq1tqvaCgkFb8cCA/edit?usp=sharing"",""เลย!J114"")"),0)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IFERROR(__xludf.DUMMYFUNCTION("IMPORTRANGE(""https://docs.google.com/spreadsheets/d/1XL5vhW3sbDhbH9Cz0tuDiY8C3ctxq1tqvaCgkFb8cCA/edit?usp=sharing"",""เลย!J119"")"),0)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IFERROR(__xludf.DUMMYFUNCTION("IMPORTRANGE(""https://docs.google.com/spreadsheets/d/1XL5vhW3sbDhbH9Cz0tuDiY8C3ctxq1tqvaCgkFb8cCA/edit?usp=sharing"",""เลย!J120"")"),1)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IFERROR(__xludf.DUMMYFUNCTION("IMPORTRANGE(""https://docs.google.com/spreadsheets/d/1XL5vhW3sbDhbH9Cz0tuDiY8C3ctxq1tqvaCgkFb8cCA/edit?usp=sharing"",""เลย!J121"")"),1)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IFERROR(__xludf.DUMMYFUNCTION("IMPORTRANGE(""https://docs.google.com/spreadsheets/d/1XL5vhW3sbDhbH9Cz0tuDiY8C3ctxq1tqvaCgkFb8cCA/edit?usp=sharing"",""เลย!J122"")"),0)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IFERROR(__xludf.DUMMYFUNCTION("IMPORTRANGE(""https://docs.google.com/spreadsheets/d/1XL5vhW3sbDhbH9Cz0tuDiY8C3ctxq1tqvaCgkFb8cCA/edit?usp=sharing"",""เลย!I124"")"),128000)</f>
        <v>128000</v>
      </c>
      <c r="J199" s="189">
        <f ca="1">IFERROR(__xludf.DUMMYFUNCTION("IMPORTRANGE(""https://docs.google.com/spreadsheets/d/1XL5vhW3sbDhbH9Cz0tuDiY8C3ctxq1tqvaCgkFb8cCA/edit?usp=sharing"",""เลย!J124"")"),0)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IFERROR(__xludf.DUMMYFUNCTION("IMPORTRANGE(""https://docs.google.com/spreadsheets/d/1XL5vhW3sbDhbH9Cz0tuDiY8C3ctxq1tqvaCgkFb8cCA/edit?usp=sharing"",""เลย!I125"")"),128000)</f>
        <v>128000</v>
      </c>
      <c r="J200" s="189">
        <f ca="1">IFERROR(__xludf.DUMMYFUNCTION("IMPORTRANGE(""https://docs.google.com/spreadsheets/d/1XL5vhW3sbDhbH9Cz0tuDiY8C3ctxq1tqvaCgkFb8cCA/edit?usp=sharing"",""เลย!J125"")"),0)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IFERROR(__xludf.DUMMYFUNCTION("IMPORTRANGE(""https://docs.google.com/spreadsheets/d/1XL5vhW3sbDhbH9Cz0tuDiY8C3ctxq1tqvaCgkFb8cCA/edit?usp=sharing"",""เลย!I126"")"),15)</f>
        <v>15</v>
      </c>
      <c r="J201" s="189">
        <f ca="1">IFERROR(__xludf.DUMMYFUNCTION("IMPORTRANGE(""https://docs.google.com/spreadsheets/d/1XL5vhW3sbDhbH9Cz0tuDiY8C3ctxq1tqvaCgkFb8cCA/edit?usp=sharing"",""เลย!J126"")"),15)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IFERROR(__xludf.DUMMYFUNCTION("IMPORTRANGE(""https://docs.google.com/spreadsheets/d/1XL5vhW3sbDhbH9Cz0tuDiY8C3ctxq1tqvaCgkFb8cCA/edit?usp=sharing"",""เลย!J127"")"),0)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IFERROR(__xludf.DUMMYFUNCTION("IMPORTRANGE(""https://docs.google.com/spreadsheets/d/1XL5vhW3sbDhbH9Cz0tuDiY8C3ctxq1tqvaCgkFb8cCA/edit?usp=sharing"",""เลย!J128"")"),0)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IFERROR(__xludf.DUMMYFUNCTION("IMPORTRANGE(""https://docs.google.com/spreadsheets/d/1XL5vhW3sbDhbH9Cz0tuDiY8C3ctxq1tqvaCgkFb8cCA/edit?usp=sharing"",""เลย!I129"")"),0)</f>
        <v>0</v>
      </c>
      <c r="J204" s="284">
        <f ca="1">IFERROR(__xludf.DUMMYFUNCTION("IMPORTRANGE(""https://docs.google.com/spreadsheets/d/1XL5vhW3sbDhbH9Cz0tuDiY8C3ctxq1tqvaCgkFb8cCA/edit?usp=sharing"",""เลย!J129"")"),0)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IFERROR(__xludf.DUMMYFUNCTION("IMPORTRANGE(""https://docs.google.com/spreadsheets/d/1XL5vhW3sbDhbH9Cz0tuDiY8C3ctxq1tqvaCgkFb8cCA/edit?usp=sharing"",""เลย!J134"")"),0)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IFERROR(__xludf.DUMMYFUNCTION("IMPORTRANGE(""https://docs.google.com/spreadsheets/d/1XL5vhW3sbDhbH9Cz0tuDiY8C3ctxq1tqvaCgkFb8cCA/edit?usp=sharing"",""เลย!J135"")"),0)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IFERROR(__xludf.DUMMYFUNCTION("IMPORTRANGE(""https://docs.google.com/spreadsheets/d/1XL5vhW3sbDhbH9Cz0tuDiY8C3ctxq1tqvaCgkFb8cCA/edit?usp=sharing"",""เลย!J136"")"),0)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IFERROR(__xludf.DUMMYFUNCTION("IMPORTRANGE(""https://docs.google.com/spreadsheets/d/1XL5vhW3sbDhbH9Cz0tuDiY8C3ctxq1tqvaCgkFb8cCA/edit?usp=sharing"",""เลย!J137"")"),0)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IFERROR(__xludf.DUMMYFUNCTION("IMPORTRANGE(""https://docs.google.com/spreadsheets/d/1XL5vhW3sbDhbH9Cz0tuDiY8C3ctxq1tqvaCgkFb8cCA/edit?usp=sharing"",""เลย!I138"")"),0)</f>
        <v>0</v>
      </c>
      <c r="J213" s="204">
        <f ca="1">IFERROR(__xludf.DUMMYFUNCTION("IMPORTRANGE(""https://docs.google.com/spreadsheets/d/1XL5vhW3sbDhbH9Cz0tuDiY8C3ctxq1tqvaCgkFb8cCA/edit?usp=sharing"",""เลย!J138"")"),0)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IFERROR(__xludf.DUMMYFUNCTION("IMPORTRANGE(""https://docs.google.com/spreadsheets/d/1XL5vhW3sbDhbH9Cz0tuDiY8C3ctxq1tqvaCgkFb8cCA/edit?usp=sharing"",""เลย!I140"")"),0)</f>
        <v>0</v>
      </c>
      <c r="J215" s="204">
        <f ca="1">IFERROR(__xludf.DUMMYFUNCTION("IMPORTRANGE(""https://docs.google.com/spreadsheets/d/1XL5vhW3sbDhbH9Cz0tuDiY8C3ctxq1tqvaCgkFb8cCA/edit?usp=sharing"",""เลย!J140"")"),0)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IFERROR(__xludf.DUMMYFUNCTION("IMPORTRANGE(""https://docs.google.com/spreadsheets/d/1XL5vhW3sbDhbH9Cz0tuDiY8C3ctxq1tqvaCgkFb8cCA/edit?usp=sharing"",""เลย!I141"")"),0)</f>
        <v>0</v>
      </c>
      <c r="J216" s="204">
        <f ca="1">IFERROR(__xludf.DUMMYFUNCTION("IMPORTRANGE(""https://docs.google.com/spreadsheets/d/1XL5vhW3sbDhbH9Cz0tuDiY8C3ctxq1tqvaCgkFb8cCA/edit?usp=sharing"",""เลย!J141"")"),0)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IFERROR(__xludf.DUMMYFUNCTION("IMPORTRANGE(""https://docs.google.com/spreadsheets/d/1XL5vhW3sbDhbH9Cz0tuDiY8C3ctxq1tqvaCgkFb8cCA/edit?usp=sharing"",""เลย!J142"")"),0)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IFERROR(__xludf.DUMMYFUNCTION("IMPORTRANGE(""https://docs.google.com/spreadsheets/d/1XL5vhW3sbDhbH9Cz0tuDiY8C3ctxq1tqvaCgkFb8cCA/edit?usp=sharing"",""เลย!J143"")"),0)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IFERROR(__xludf.DUMMYFUNCTION("IMPORTRANGE(""https://docs.google.com/spreadsheets/d/1XL5vhW3sbDhbH9Cz0tuDiY8C3ctxq1tqvaCgkFb8cCA/edit?usp=sharing"",""เลย!I144"")"),15)</f>
        <v>15</v>
      </c>
      <c r="J219" s="267">
        <f ca="1">IFERROR(__xludf.DUMMYFUNCTION("IMPORTRANGE(""https://docs.google.com/spreadsheets/d/1XL5vhW3sbDhbH9Cz0tuDiY8C3ctxq1tqvaCgkFb8cCA/edit?usp=sharing"",""เลย!J144"")"),15)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54" t="s">
        <v>17</v>
      </c>
      <c r="E220" s="555"/>
      <c r="F220" s="555"/>
      <c r="G220" s="55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20805</v>
      </c>
      <c r="O220" s="151">
        <f t="shared" ref="O220:O222" ca="1" si="73">IF(L220&gt;0,N220*100/L220,0)</f>
        <v>98.485207100591722</v>
      </c>
      <c r="P220" s="151">
        <f t="shared" ref="P220:P222" ca="1" si="74">IF(M220&gt;0,N220*100/M220,0)</f>
        <v>98.485207100591722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20805</v>
      </c>
      <c r="O222" s="156">
        <f t="shared" ca="1" si="73"/>
        <v>98.485207100591722</v>
      </c>
      <c r="P222" s="156">
        <f t="shared" ca="1" si="74"/>
        <v>98.485207100591722</v>
      </c>
    </row>
    <row r="223" spans="1:16" ht="21.75" customHeight="1" x14ac:dyDescent="0.45">
      <c r="A223" s="158"/>
      <c r="B223" s="159"/>
      <c r="C223" s="159" t="s">
        <v>16</v>
      </c>
      <c r="D223" s="552" t="s">
        <v>20</v>
      </c>
      <c r="E223" s="553"/>
      <c r="F223" s="55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537">
        <f ca="1">IFERROR(__xludf.DUMMYFUNCTION("IMPORTRANGE(""https://docs.google.com/spreadsheets/d/1Yj_ptqi66GCucihVvJfMjLAmec39IyEx_6qawtMGysU/edit?usp=sharing"",""สบก!BS49"")"),21125)</f>
        <v>21125</v>
      </c>
      <c r="N224" s="538">
        <f ca="1">IFERROR(__xludf.DUMMYFUNCTION("IMPORTRANGE(""https://docs.google.com/spreadsheets/d/1Yj_ptqi66GCucihVvJfMjLAmec39IyEx_6qawtMGysU/edit?usp=sharing"",""สบก!BT49"")"),20805)</f>
        <v>20805</v>
      </c>
      <c r="O224" s="169">
        <f ca="1">IF(L224&gt;0,N224*100/L224,0)</f>
        <v>98.485207100591722</v>
      </c>
      <c r="P224" s="169">
        <f ca="1">IF(M224&gt;0,N224*100/M224,0)</f>
        <v>98.485207100591722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537">
        <f ca="1">IFERROR(__xludf.DUMMYFUNCTION("IMPORTRANGE(""https://docs.google.com/spreadsheets/d/1Yj_ptqi66GCucihVvJfMjLAmec39IyEx_6qawtMGysU/edit?usp=sharing"",""สบก!BO49"")"),0)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537">
        <f ca="1">IFERROR(__xludf.DUMMYFUNCTION("IMPORTRANGE(""https://docs.google.com/spreadsheets/d/1Yj_ptqi66GCucihVvJfMjLAmec39IyEx_6qawtMGysU/edit?usp=sharing"",""สบก!BP49"")"),21125)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52" t="s">
        <v>23</v>
      </c>
      <c r="E227" s="553"/>
      <c r="F227" s="89"/>
      <c r="G227" s="82" t="s">
        <v>18</v>
      </c>
      <c r="H227" s="172" t="s">
        <v>12</v>
      </c>
      <c r="I227" s="201"/>
      <c r="J227" s="201"/>
      <c r="K227" s="290"/>
      <c r="L227" s="535">
        <v>0</v>
      </c>
      <c r="M227" s="535"/>
      <c r="N227" s="41"/>
      <c r="O227" s="535"/>
      <c r="P227" s="535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533">
        <f ca="1">IFERROR(__xludf.DUMMYFUNCTION("IMPORTRANGE(""https://docs.google.com/spreadsheets/d/1Yj_ptqi66GCucihVvJfMjLAmec39IyEx_6qawtMGysU/edit?usp=sharing"",""สบก!BQ49"")"),0)</f>
        <v>0</v>
      </c>
      <c r="M228" s="536"/>
      <c r="N228" s="533">
        <f ca="1">IFERROR(__xludf.DUMMYFUNCTION("IMPORTRANGE(""https://docs.google.com/spreadsheets/d/1Yj_ptqi66GCucihVvJfMjLAmec39IyEx_6qawtMGysU/edit?usp=sharing"",""สบก!BU49"")"),0)</f>
        <v>0</v>
      </c>
      <c r="O228" s="536">
        <f ca="1">IF(L228&gt;0,N228*100/L228,0)</f>
        <v>0</v>
      </c>
      <c r="P228" s="536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IFERROR(__xludf.DUMMYFUNCTION("IMPORTRANGE(""https://docs.google.com/spreadsheets/d/1XL5vhW3sbDhbH9Cz0tuDiY8C3ctxq1tqvaCgkFb8cCA/edit?usp=sharing"",""เลย!I149"")"),15)</f>
        <v>15</v>
      </c>
      <c r="J229" s="267">
        <f ca="1">IFERROR(__xludf.DUMMYFUNCTION("IMPORTRANGE(""https://docs.google.com/spreadsheets/d/1XL5vhW3sbDhbH9Cz0tuDiY8C3ctxq1tqvaCgkFb8cCA/edit?usp=sharing"",""เลย!J149"")"),15)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IFERROR(__xludf.DUMMYFUNCTION("IMPORTRANGE(""https://docs.google.com/spreadsheets/d/1XL5vhW3sbDhbH9Cz0tuDiY8C3ctxq1tqvaCgkFb8cCA/edit?usp=sharing"",""เลย!J151"")"),0)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IFERROR(__xludf.DUMMYFUNCTION("IMPORTRANGE(""https://docs.google.com/spreadsheets/d/1XL5vhW3sbDhbH9Cz0tuDiY8C3ctxq1tqvaCgkFb8cCA/edit?usp=sharing"",""เลย!J152"")"),1)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IFERROR(__xludf.DUMMYFUNCTION("IMPORTRANGE(""https://docs.google.com/spreadsheets/d/1XL5vhW3sbDhbH9Cz0tuDiY8C3ctxq1tqvaCgkFb8cCA/edit?usp=sharing"",""เลย!J153"")"),1)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IFERROR(__xludf.DUMMYFUNCTION("IMPORTRANGE(""https://docs.google.com/spreadsheets/d/1XL5vhW3sbDhbH9Cz0tuDiY8C3ctxq1tqvaCgkFb8cCA/edit?usp=sharing"",""เลย!J154"")"),0)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IFERROR(__xludf.DUMMYFUNCTION("IMPORTRANGE(""https://docs.google.com/spreadsheets/d/1XL5vhW3sbDhbH9Cz0tuDiY8C3ctxq1tqvaCgkFb8cCA/edit?usp=sharing"",""เลย!I155"")"),15)</f>
        <v>15</v>
      </c>
      <c r="J235" s="189">
        <f ca="1">IFERROR(__xludf.DUMMYFUNCTION("IMPORTRANGE(""https://docs.google.com/spreadsheets/d/1XL5vhW3sbDhbH9Cz0tuDiY8C3ctxq1tqvaCgkFb8cCA/edit?usp=sharing"",""เลย!J155"")"),15)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IFERROR(__xludf.DUMMYFUNCTION("IMPORTRANGE(""https://docs.google.com/spreadsheets/d/1XL5vhW3sbDhbH9Cz0tuDiY8C3ctxq1tqvaCgkFb8cCA/edit?usp=sharing"",""เลย!J156"")"),0)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IFERROR(__xludf.DUMMYFUNCTION("IMPORTRANGE(""https://docs.google.com/spreadsheets/d/1XL5vhW3sbDhbH9Cz0tuDiY8C3ctxq1tqvaCgkFb8cCA/edit?usp=sharing"",""เลย!J157"")"),0)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IFERROR(__xludf.DUMMYFUNCTION("IMPORTRANGE(""https://docs.google.com/spreadsheets/d/1XL5vhW3sbDhbH9Cz0tuDiY8C3ctxq1tqvaCgkFb8cCA/edit?usp=sharing"",""เลย!I158"")"),0)</f>
        <v>0</v>
      </c>
      <c r="J238" s="267">
        <f ca="1">IFERROR(__xludf.DUMMYFUNCTION("IMPORTRANGE(""https://docs.google.com/spreadsheets/d/1XL5vhW3sbDhbH9Cz0tuDiY8C3ctxq1tqvaCgkFb8cCA/edit?usp=sharing"",""เลย!J158"")"),0)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IFERROR(__xludf.DUMMYFUNCTION("IMPORTRANGE(""https://docs.google.com/spreadsheets/d/1XL5vhW3sbDhbH9Cz0tuDiY8C3ctxq1tqvaCgkFb8cCA/edit?usp=sharing"",""เลย!J159"")"),"")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IFERROR(__xludf.DUMMYFUNCTION("IMPORTRANGE(""https://docs.google.com/spreadsheets/d/1XL5vhW3sbDhbH9Cz0tuDiY8C3ctxq1tqvaCgkFb8cCA/edit?usp=sharing"",""เลย!J161"")"),0)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IFERROR(__xludf.DUMMYFUNCTION("IMPORTRANGE(""https://docs.google.com/spreadsheets/d/1XL5vhW3sbDhbH9Cz0tuDiY8C3ctxq1tqvaCgkFb8cCA/edit?usp=sharing"",""เลย!J162"")"),0)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IFERROR(__xludf.DUMMYFUNCTION("IMPORTRANGE(""https://docs.google.com/spreadsheets/d/1XL5vhW3sbDhbH9Cz0tuDiY8C3ctxq1tqvaCgkFb8cCA/edit?usp=sharing"",""เลย!J163"")"),0)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IFERROR(__xludf.DUMMYFUNCTION("IMPORTRANGE(""https://docs.google.com/spreadsheets/d/1XL5vhW3sbDhbH9Cz0tuDiY8C3ctxq1tqvaCgkFb8cCA/edit?usp=sharing"",""เลย!I164"")"),0)</f>
        <v>0</v>
      </c>
      <c r="J244" s="188">
        <f ca="1">IFERROR(__xludf.DUMMYFUNCTION("IMPORTRANGE(""https://docs.google.com/spreadsheets/d/1XL5vhW3sbDhbH9Cz0tuDiY8C3ctxq1tqvaCgkFb8cCA/edit?usp=sharing"",""เลย!J164"")"),0)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IFERROR(__xludf.DUMMYFUNCTION("IMPORTRANGE(""https://docs.google.com/spreadsheets/d/1XL5vhW3sbDhbH9Cz0tuDiY8C3ctxq1tqvaCgkFb8cCA/edit?usp=sharing"",""เลย!J165"")"),0)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IFERROR(__xludf.DUMMYFUNCTION("IMPORTRANGE(""https://docs.google.com/spreadsheets/d/1XL5vhW3sbDhbH9Cz0tuDiY8C3ctxq1tqvaCgkFb8cCA/edit?usp=sharing"",""เลย!J166"")"),0)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IFERROR(__xludf.DUMMYFUNCTION("IMPORTRANGE(""https://docs.google.com/spreadsheets/d/1XL5vhW3sbDhbH9Cz0tuDiY8C3ctxq1tqvaCgkFb8cCA/edit?usp=sharing"",""เลย!I169"")"),0)</f>
        <v>0</v>
      </c>
      <c r="J249" s="316">
        <f ca="1">IFERROR(__xludf.DUMMYFUNCTION("IMPORTRANGE(""https://docs.google.com/spreadsheets/d/1XL5vhW3sbDhbH9Cz0tuDiY8C3ctxq1tqvaCgkFb8cCA/edit?usp=sharing"",""เลย!J169"")"),0)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54" t="s">
        <v>17</v>
      </c>
      <c r="E250" s="555"/>
      <c r="F250" s="555"/>
      <c r="G250" s="55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52" t="s">
        <v>20</v>
      </c>
      <c r="E253" s="553"/>
      <c r="F253" s="55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537">
        <f ca="1">IFERROR(__xludf.DUMMYFUNCTION("IMPORTRANGE(""https://docs.google.com/spreadsheets/d/1Yj_ptqi66GCucihVvJfMjLAmec39IyEx_6qawtMGysU/edit?usp=sharing"",""สบก!CB49"")"),0)</f>
        <v>0</v>
      </c>
      <c r="N254" s="538">
        <f ca="1">IFERROR(__xludf.DUMMYFUNCTION("IMPORTRANGE(""https://docs.google.com/spreadsheets/d/1Yj_ptqi66GCucihVvJfMjLAmec39IyEx_6qawtMGysU/edit?usp=sharing"",""สบก!CC49"")"),0)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537">
        <f ca="1">IFERROR(__xludf.DUMMYFUNCTION("IMPORTRANGE(""https://docs.google.com/spreadsheets/d/1Yj_ptqi66GCucihVvJfMjLAmec39IyEx_6qawtMGysU/edit?usp=sharing"",""สบก!BX49"")"),0)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537">
        <f ca="1">IFERROR(__xludf.DUMMYFUNCTION("IMPORTRANGE(""https://docs.google.com/spreadsheets/d/1Yj_ptqi66GCucihVvJfMjLAmec39IyEx_6qawtMGysU/edit?usp=sharing"",""สบก!BY49"")"),0)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52" t="s">
        <v>23</v>
      </c>
      <c r="E257" s="553"/>
      <c r="F257" s="89"/>
      <c r="G257" s="82" t="s">
        <v>18</v>
      </c>
      <c r="H257" s="172" t="s">
        <v>12</v>
      </c>
      <c r="I257" s="162"/>
      <c r="J257" s="162"/>
      <c r="K257" s="163"/>
      <c r="L257" s="535">
        <v>0</v>
      </c>
      <c r="M257" s="535"/>
      <c r="N257" s="41"/>
      <c r="O257" s="535"/>
      <c r="P257" s="535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533">
        <f ca="1">IFERROR(__xludf.DUMMYFUNCTION("IMPORTRANGE(""https://docs.google.com/spreadsheets/d/1Yj_ptqi66GCucihVvJfMjLAmec39IyEx_6qawtMGysU/edit?usp=sharing"",""สบก!BZ49"")"),0)</f>
        <v>0</v>
      </c>
      <c r="M258" s="536"/>
      <c r="N258" s="533">
        <f ca="1">IFERROR(__xludf.DUMMYFUNCTION("IMPORTRANGE(""https://docs.google.com/spreadsheets/d/1Yj_ptqi66GCucihVvJfMjLAmec39IyEx_6qawtMGysU/edit?usp=sharing"",""สบก!CD49"")"),0)</f>
        <v>0</v>
      </c>
      <c r="O258" s="536">
        <f ca="1">IF(L258&gt;0,N258*100/L258,0)</f>
        <v>0</v>
      </c>
      <c r="P258" s="536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IFERROR(__xludf.DUMMYFUNCTION("IMPORTRANGE(""https://docs.google.com/spreadsheets/d/1XL5vhW3sbDhbH9Cz0tuDiY8C3ctxq1tqvaCgkFb8cCA/edit?usp=sharing"",""เลย!J175"")"),0)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IFERROR(__xludf.DUMMYFUNCTION("IMPORTRANGE(""https://docs.google.com/spreadsheets/d/1XL5vhW3sbDhbH9Cz0tuDiY8C3ctxq1tqvaCgkFb8cCA/edit?usp=sharing"",""เลย!J176"")"),0)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IFERROR(__xludf.DUMMYFUNCTION("IMPORTRANGE(""https://docs.google.com/spreadsheets/d/1XL5vhW3sbDhbH9Cz0tuDiY8C3ctxq1tqvaCgkFb8cCA/edit?usp=sharing"",""เลย!J177"")"),0)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IFERROR(__xludf.DUMMYFUNCTION("IMPORTRANGE(""https://docs.google.com/spreadsheets/d/1XL5vhW3sbDhbH9Cz0tuDiY8C3ctxq1tqvaCgkFb8cCA/edit?usp=sharing"",""เลย!J178"")"),0)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IFERROR(__xludf.DUMMYFUNCTION("IMPORTRANGE(""https://docs.google.com/spreadsheets/d/1XL5vhW3sbDhbH9Cz0tuDiY8C3ctxq1tqvaCgkFb8cCA/edit?usp=sharing"",""เลย!I179"")"),0)</f>
        <v>0</v>
      </c>
      <c r="J264" s="189">
        <f ca="1">IFERROR(__xludf.DUMMYFUNCTION("IMPORTRANGE(""https://docs.google.com/spreadsheets/d/1XL5vhW3sbDhbH9Cz0tuDiY8C3ctxq1tqvaCgkFb8cCA/edit?usp=sharing"",""เลย!J179"")"),0)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IFERROR(__xludf.DUMMYFUNCTION("IMPORTRANGE(""https://docs.google.com/spreadsheets/d/1XL5vhW3sbDhbH9Cz0tuDiY8C3ctxq1tqvaCgkFb8cCA/edit?usp=sharing"",""เลย!I180"")"),0)</f>
        <v>0</v>
      </c>
      <c r="J265" s="189">
        <f ca="1">IFERROR(__xludf.DUMMYFUNCTION("IMPORTRANGE(""https://docs.google.com/spreadsheets/d/1XL5vhW3sbDhbH9Cz0tuDiY8C3ctxq1tqvaCgkFb8cCA/edit?usp=sharing"",""เลย!J180"")"),0)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IFERROR(__xludf.DUMMYFUNCTION("IMPORTRANGE(""https://docs.google.com/spreadsheets/d/1XL5vhW3sbDhbH9Cz0tuDiY8C3ctxq1tqvaCgkFb8cCA/edit?usp=sharing"",""เลย!I181"")"),0)</f>
        <v>0</v>
      </c>
      <c r="J266" s="189">
        <f ca="1">IFERROR(__xludf.DUMMYFUNCTION("IMPORTRANGE(""https://docs.google.com/spreadsheets/d/1XL5vhW3sbDhbH9Cz0tuDiY8C3ctxq1tqvaCgkFb8cCA/edit?usp=sharing"",""เลย!J181"")"),0)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IFERROR(__xludf.DUMMYFUNCTION("IMPORTRANGE(""https://docs.google.com/spreadsheets/d/1XL5vhW3sbDhbH9Cz0tuDiY8C3ctxq1tqvaCgkFb8cCA/edit?usp=sharing"",""เลย!I182"")"),0)</f>
        <v>0</v>
      </c>
      <c r="J267" s="189">
        <f ca="1">IFERROR(__xludf.DUMMYFUNCTION("IMPORTRANGE(""https://docs.google.com/spreadsheets/d/1XL5vhW3sbDhbH9Cz0tuDiY8C3ctxq1tqvaCgkFb8cCA/edit?usp=sharing"",""เลย!J182"")"),0)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IFERROR(__xludf.DUMMYFUNCTION("IMPORTRANGE(""https://docs.google.com/spreadsheets/d/1XL5vhW3sbDhbH9Cz0tuDiY8C3ctxq1tqvaCgkFb8cCA/edit?usp=sharing"",""เลย!J183"")"),0)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IFERROR(__xludf.DUMMYFUNCTION("IMPORTRANGE(""https://docs.google.com/spreadsheets/d/1XL5vhW3sbDhbH9Cz0tuDiY8C3ctxq1tqvaCgkFb8cCA/edit?usp=sharing"",""เลย!J184"")"),0)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IFERROR(__xludf.DUMMYFUNCTION("IMPORTRANGE(""https://docs.google.com/spreadsheets/d/1XL5vhW3sbDhbH9Cz0tuDiY8C3ctxq1tqvaCgkFb8cCA/edit?usp=sharing"",""เลย!I185"")"),15)</f>
        <v>15</v>
      </c>
      <c r="J270" s="316">
        <f ca="1">IFERROR(__xludf.DUMMYFUNCTION("IMPORTRANGE(""https://docs.google.com/spreadsheets/d/1XL5vhW3sbDhbH9Cz0tuDiY8C3ctxq1tqvaCgkFb8cCA/edit?usp=sharing"",""เลย!J185"")"),15)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54" t="s">
        <v>17</v>
      </c>
      <c r="E271" s="555"/>
      <c r="F271" s="555"/>
      <c r="G271" s="555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26865</v>
      </c>
      <c r="O271" s="151">
        <f t="shared" ref="O271:O273" ca="1" si="84">IF(L271&gt;0,N271*100/L271,0)</f>
        <v>48.668478260869563</v>
      </c>
      <c r="P271" s="151">
        <f t="shared" ref="P271:P273" ca="1" si="85">IF(M271&gt;0,N271*100/M271,0)</f>
        <v>83.302325581395351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26865</v>
      </c>
      <c r="O273" s="156">
        <f t="shared" ca="1" si="84"/>
        <v>48.668478260869563</v>
      </c>
      <c r="P273" s="156">
        <f t="shared" ca="1" si="85"/>
        <v>83.302325581395351</v>
      </c>
    </row>
    <row r="274" spans="1:16" ht="21.75" customHeight="1" x14ac:dyDescent="0.45">
      <c r="A274" s="158"/>
      <c r="B274" s="159"/>
      <c r="C274" s="159" t="s">
        <v>16</v>
      </c>
      <c r="D274" s="552" t="s">
        <v>20</v>
      </c>
      <c r="E274" s="553"/>
      <c r="F274" s="55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537">
        <f ca="1">IFERROR(__xludf.DUMMYFUNCTION("IMPORTRANGE(""https://docs.google.com/spreadsheets/d/1Yj_ptqi66GCucihVvJfMjLAmec39IyEx_6qawtMGysU/edit?usp=sharing"",""สบก!CK49"")"),32250)</f>
        <v>32250</v>
      </c>
      <c r="N275" s="538">
        <f ca="1">IFERROR(__xludf.DUMMYFUNCTION("IMPORTRANGE(""https://docs.google.com/spreadsheets/d/1Yj_ptqi66GCucihVvJfMjLAmec39IyEx_6qawtMGysU/edit?usp=sharing"",""สบก!CL49"")"),26865)</f>
        <v>26865</v>
      </c>
      <c r="O275" s="169">
        <f ca="1">IF(L275&gt;0,N275*100/L275,0)</f>
        <v>48.668478260869563</v>
      </c>
      <c r="P275" s="169">
        <f ca="1">IF(M275&gt;0,N275*100/M275,0)</f>
        <v>83.302325581395351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537">
        <f ca="1">IFERROR(__xludf.DUMMYFUNCTION("IMPORTRANGE(""https://docs.google.com/spreadsheets/d/1Yj_ptqi66GCucihVvJfMjLAmec39IyEx_6qawtMGysU/edit?usp=sharing"",""สบก!CG49"")"),0)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537">
        <f ca="1">IFERROR(__xludf.DUMMYFUNCTION("IMPORTRANGE(""https://docs.google.com/spreadsheets/d/1Yj_ptqi66GCucihVvJfMjLAmec39IyEx_6qawtMGysU/edit?usp=sharing"",""สบก!CH49"")"),55200)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52" t="s">
        <v>23</v>
      </c>
      <c r="E278" s="553"/>
      <c r="F278" s="89"/>
      <c r="G278" s="82" t="s">
        <v>18</v>
      </c>
      <c r="H278" s="172" t="s">
        <v>12</v>
      </c>
      <c r="I278" s="162"/>
      <c r="J278" s="162"/>
      <c r="K278" s="163"/>
      <c r="L278" s="535">
        <v>0</v>
      </c>
      <c r="M278" s="535"/>
      <c r="N278" s="41"/>
      <c r="O278" s="535"/>
      <c r="P278" s="535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533">
        <f ca="1">IFERROR(__xludf.DUMMYFUNCTION("IMPORTRANGE(""https://docs.google.com/spreadsheets/d/1Yj_ptqi66GCucihVvJfMjLAmec39IyEx_6qawtMGysU/edit?usp=sharing"",""สบก!CI49"")"),0)</f>
        <v>0</v>
      </c>
      <c r="M279" s="536"/>
      <c r="N279" s="533">
        <f ca="1">IFERROR(__xludf.DUMMYFUNCTION("IMPORTRANGE(""https://docs.google.com/spreadsheets/d/1Yj_ptqi66GCucihVvJfMjLAmec39IyEx_6qawtMGysU/edit?usp=sharing"",""สบก!CM49"")"),0)</f>
        <v>0</v>
      </c>
      <c r="O279" s="536">
        <f ca="1">IF(L279&gt;0,N279*100/L279,0)</f>
        <v>0</v>
      </c>
      <c r="P279" s="536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IFERROR(__xludf.DUMMYFUNCTION("IMPORTRANGE(""https://docs.google.com/spreadsheets/d/1XL5vhW3sbDhbH9Cz0tuDiY8C3ctxq1tqvaCgkFb8cCA/edit?usp=sharing"",""เลย!J191"")"),0)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IFERROR(__xludf.DUMMYFUNCTION("IMPORTRANGE(""https://docs.google.com/spreadsheets/d/1XL5vhW3sbDhbH9Cz0tuDiY8C3ctxq1tqvaCgkFb8cCA/edit?usp=sharing"",""เลย!J192"")"),1)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IFERROR(__xludf.DUMMYFUNCTION("IMPORTRANGE(""https://docs.google.com/spreadsheets/d/1XL5vhW3sbDhbH9Cz0tuDiY8C3ctxq1tqvaCgkFb8cCA/edit?usp=sharing"",""เลย!J193"")"),1)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IFERROR(__xludf.DUMMYFUNCTION("IMPORTRANGE(""https://docs.google.com/spreadsheets/d/1XL5vhW3sbDhbH9Cz0tuDiY8C3ctxq1tqvaCgkFb8cCA/edit?usp=sharing"",""เลย!J194"")"),0)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IFERROR(__xludf.DUMMYFUNCTION("IMPORTRANGE(""https://docs.google.com/spreadsheets/d/1XL5vhW3sbDhbH9Cz0tuDiY8C3ctxq1tqvaCgkFb8cCA/edit?usp=sharing"",""เลย!I195"")"),15)</f>
        <v>15</v>
      </c>
      <c r="J285" s="189">
        <f ca="1">IFERROR(__xludf.DUMMYFUNCTION("IMPORTRANGE(""https://docs.google.com/spreadsheets/d/1XL5vhW3sbDhbH9Cz0tuDiY8C3ctxq1tqvaCgkFb8cCA/edit?usp=sharing"",""เลย!J195"")"),15)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IFERROR(__xludf.DUMMYFUNCTION("IMPORTRANGE(""https://docs.google.com/spreadsheets/d/1XL5vhW3sbDhbH9Cz0tuDiY8C3ctxq1tqvaCgkFb8cCA/edit?usp=sharing"",""เลย!J196"")"),0)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IFERROR(__xludf.DUMMYFUNCTION("IMPORTRANGE(""https://docs.google.com/spreadsheets/d/1XL5vhW3sbDhbH9Cz0tuDiY8C3ctxq1tqvaCgkFb8cCA/edit?usp=sharing"",""เลย!J197"")"),0)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IFERROR(__xludf.DUMMYFUNCTION("IMPORTRANGE(""https://docs.google.com/spreadsheets/d/1XL5vhW3sbDhbH9Cz0tuDiY8C3ctxq1tqvaCgkFb8cCA/edit?usp=sharing"",""เลย!I199"")"),0)</f>
        <v>0</v>
      </c>
      <c r="J289" s="316">
        <f ca="1">IFERROR(__xludf.DUMMYFUNCTION("IMPORTRANGE(""https://docs.google.com/spreadsheets/d/1XL5vhW3sbDhbH9Cz0tuDiY8C3ctxq1tqvaCgkFb8cCA/edit?usp=sharing"",""เลย!J199"")"),0)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54" t="s">
        <v>17</v>
      </c>
      <c r="E290" s="555"/>
      <c r="F290" s="555"/>
      <c r="G290" s="55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52" t="s">
        <v>20</v>
      </c>
      <c r="E293" s="553"/>
      <c r="F293" s="55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537">
        <f ca="1">IFERROR(__xludf.DUMMYFUNCTION("IMPORTRANGE(""https://docs.google.com/spreadsheets/d/1Yj_ptqi66GCucihVvJfMjLAmec39IyEx_6qawtMGysU/edit?usp=sharing"",""สบก!CT49"")"),0)</f>
        <v>0</v>
      </c>
      <c r="N294" s="538">
        <f ca="1">IFERROR(__xludf.DUMMYFUNCTION("IMPORTRANGE(""https://docs.google.com/spreadsheets/d/1Yj_ptqi66GCucihVvJfMjLAmec39IyEx_6qawtMGysU/edit?usp=sharing"",""สบก!CU49"")"),0)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537">
        <f ca="1">IFERROR(__xludf.DUMMYFUNCTION("IMPORTRANGE(""https://docs.google.com/spreadsheets/d/1Yj_ptqi66GCucihVvJfMjLAmec39IyEx_6qawtMGysU/edit?usp=sharing"",""สบก!CP49"")"),0)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537">
        <f ca="1">IFERROR(__xludf.DUMMYFUNCTION("IMPORTRANGE(""https://docs.google.com/spreadsheets/d/1Yj_ptqi66GCucihVvJfMjLAmec39IyEx_6qawtMGysU/edit?usp=sharing"",""สบก!CQ49"")"),0)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52" t="s">
        <v>23</v>
      </c>
      <c r="E297" s="553"/>
      <c r="F297" s="89"/>
      <c r="G297" s="82" t="s">
        <v>18</v>
      </c>
      <c r="H297" s="172" t="s">
        <v>12</v>
      </c>
      <c r="I297" s="188"/>
      <c r="J297" s="188"/>
      <c r="K297" s="224"/>
      <c r="L297" s="535">
        <v>0</v>
      </c>
      <c r="M297" s="535"/>
      <c r="N297" s="41"/>
      <c r="O297" s="535"/>
      <c r="P297" s="535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533">
        <f ca="1">IFERROR(__xludf.DUMMYFUNCTION("IMPORTRANGE(""https://docs.google.com/spreadsheets/d/1Yj_ptqi66GCucihVvJfMjLAmec39IyEx_6qawtMGysU/edit?usp=sharing"",""สบก!CR49"")"),0)</f>
        <v>0</v>
      </c>
      <c r="M298" s="536"/>
      <c r="N298" s="533">
        <f ca="1">IFERROR(__xludf.DUMMYFUNCTION("IMPORTRANGE(""https://docs.google.com/spreadsheets/d/1Yj_ptqi66GCucihVvJfMjLAmec39IyEx_6qawtMGysU/edit?usp=sharing"",""สบก!CV49"")"),0)</f>
        <v>0</v>
      </c>
      <c r="O298" s="536">
        <f ca="1">IF(L298&gt;0,N298*100/L298,0)</f>
        <v>0</v>
      </c>
      <c r="P298" s="536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IFERROR(__xludf.DUMMYFUNCTION("IMPORTRANGE(""https://docs.google.com/spreadsheets/d/1XL5vhW3sbDhbH9Cz0tuDiY8C3ctxq1tqvaCgkFb8cCA/edit?usp=sharing"",""เลย!J205"")"),0)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IFERROR(__xludf.DUMMYFUNCTION("IMPORTRANGE(""https://docs.google.com/spreadsheets/d/1XL5vhW3sbDhbH9Cz0tuDiY8C3ctxq1tqvaCgkFb8cCA/edit?usp=sharing"",""เลย!J206"")"),0)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IFERROR(__xludf.DUMMYFUNCTION("IMPORTRANGE(""https://docs.google.com/spreadsheets/d/1XL5vhW3sbDhbH9Cz0tuDiY8C3ctxq1tqvaCgkFb8cCA/edit?usp=sharing"",""เลย!J207"")"),0)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IFERROR(__xludf.DUMMYFUNCTION("IMPORTRANGE(""https://docs.google.com/spreadsheets/d/1XL5vhW3sbDhbH9Cz0tuDiY8C3ctxq1tqvaCgkFb8cCA/edit?usp=sharing"",""เลย!J208"")"),0)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IFERROR(__xludf.DUMMYFUNCTION("IMPORTRANGE(""https://docs.google.com/spreadsheets/d/1XL5vhW3sbDhbH9Cz0tuDiY8C3ctxq1tqvaCgkFb8cCA/edit?usp=sharing"",""เลย!I209"")"),0)</f>
        <v>0</v>
      </c>
      <c r="J304" s="204">
        <f ca="1">IFERROR(__xludf.DUMMYFUNCTION("IMPORTRANGE(""https://docs.google.com/spreadsheets/d/1XL5vhW3sbDhbH9Cz0tuDiY8C3ctxq1tqvaCgkFb8cCA/edit?usp=sharing"",""เลย!J209"")"),0)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IFERROR(__xludf.DUMMYFUNCTION("IMPORTRANGE(""https://docs.google.com/spreadsheets/d/1XL5vhW3sbDhbH9Cz0tuDiY8C3ctxq1tqvaCgkFb8cCA/edit?usp=sharing"",""เลย!I211"")"),0)</f>
        <v>0</v>
      </c>
      <c r="J306" s="204">
        <f ca="1">IFERROR(__xludf.DUMMYFUNCTION("IMPORTRANGE(""https://docs.google.com/spreadsheets/d/1XL5vhW3sbDhbH9Cz0tuDiY8C3ctxq1tqvaCgkFb8cCA/edit?usp=sharing"",""เลย!J211"")"),0)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IFERROR(__xludf.DUMMYFUNCTION("IMPORTRANGE(""https://docs.google.com/spreadsheets/d/1XL5vhW3sbDhbH9Cz0tuDiY8C3ctxq1tqvaCgkFb8cCA/edit?usp=sharing"",""เลย!J212"")"),0)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IFERROR(__xludf.DUMMYFUNCTION("IMPORTRANGE(""https://docs.google.com/spreadsheets/d/1XL5vhW3sbDhbH9Cz0tuDiY8C3ctxq1tqvaCgkFb8cCA/edit?usp=sharing"",""เลย!J213"")"),0)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IFERROR(__xludf.DUMMYFUNCTION("IMPORTRANGE(""https://docs.google.com/spreadsheets/d/1XL5vhW3sbDhbH9Cz0tuDiY8C3ctxq1tqvaCgkFb8cCA/edit?usp=sharing"",""เลย!I214"")"),0)</f>
        <v>0</v>
      </c>
      <c r="J309" s="333">
        <f ca="1">IFERROR(__xludf.DUMMYFUNCTION("IMPORTRANGE(""https://docs.google.com/spreadsheets/d/1XL5vhW3sbDhbH9Cz0tuDiY8C3ctxq1tqvaCgkFb8cCA/edit?usp=sharing"",""เลย!J214"")"),0)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54" t="s">
        <v>17</v>
      </c>
      <c r="E310" s="555"/>
      <c r="F310" s="555"/>
      <c r="G310" s="55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52" t="s">
        <v>20</v>
      </c>
      <c r="E313" s="553"/>
      <c r="F313" s="55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537">
        <f ca="1">IFERROR(__xludf.DUMMYFUNCTION("IMPORTRANGE(""https://docs.google.com/spreadsheets/d/1Yj_ptqi66GCucihVvJfMjLAmec39IyEx_6qawtMGysU/edit?usp=sharing"",""สบก!DC49"")"),0)</f>
        <v>0</v>
      </c>
      <c r="N314" s="538">
        <f ca="1">IFERROR(__xludf.DUMMYFUNCTION("IMPORTRANGE(""https://docs.google.com/spreadsheets/d/1Yj_ptqi66GCucihVvJfMjLAmec39IyEx_6qawtMGysU/edit?usp=sharing"",""สบก!DD49"")"),0)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537">
        <f ca="1">IFERROR(__xludf.DUMMYFUNCTION("IMPORTRANGE(""https://docs.google.com/spreadsheets/d/1Yj_ptqi66GCucihVvJfMjLAmec39IyEx_6qawtMGysU/edit?usp=sharing"",""สบก!CY49"")"),0)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537">
        <f ca="1">IFERROR(__xludf.DUMMYFUNCTION("IMPORTRANGE(""https://docs.google.com/spreadsheets/d/1Yj_ptqi66GCucihVvJfMjLAmec39IyEx_6qawtMGysU/edit?usp=sharing"",""สบก!CZ49"")"),0)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52" t="s">
        <v>23</v>
      </c>
      <c r="E317" s="553"/>
      <c r="F317" s="89"/>
      <c r="G317" s="82" t="s">
        <v>18</v>
      </c>
      <c r="H317" s="172" t="s">
        <v>12</v>
      </c>
      <c r="I317" s="162"/>
      <c r="J317" s="188"/>
      <c r="K317" s="224"/>
      <c r="L317" s="535">
        <v>0</v>
      </c>
      <c r="M317" s="535"/>
      <c r="N317" s="41"/>
      <c r="O317" s="535"/>
      <c r="P317" s="535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533">
        <f ca="1">IFERROR(__xludf.DUMMYFUNCTION("IMPORTRANGE(""https://docs.google.com/spreadsheets/d/1Yj_ptqi66GCucihVvJfMjLAmec39IyEx_6qawtMGysU/edit?usp=sharing"",""สบก!DA49"")"),0)</f>
        <v>0</v>
      </c>
      <c r="M318" s="536"/>
      <c r="N318" s="533">
        <f ca="1">IFERROR(__xludf.DUMMYFUNCTION("IMPORTRANGE(""https://docs.google.com/spreadsheets/d/1Yj_ptqi66GCucihVvJfMjLAmec39IyEx_6qawtMGysU/edit?usp=sharing"",""สบก!DE49"")"),0)</f>
        <v>0</v>
      </c>
      <c r="O318" s="536">
        <f ca="1">IF(L318&gt;0,N318*100/L318,0)</f>
        <v>0</v>
      </c>
      <c r="P318" s="536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IFERROR(__xludf.DUMMYFUNCTION("IMPORTRANGE(""https://docs.google.com/spreadsheets/d/1XL5vhW3sbDhbH9Cz0tuDiY8C3ctxq1tqvaCgkFb8cCA/edit?usp=sharing"",""เลย!J220"")"),0)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IFERROR(__xludf.DUMMYFUNCTION("IMPORTRANGE(""https://docs.google.com/spreadsheets/d/1XL5vhW3sbDhbH9Cz0tuDiY8C3ctxq1tqvaCgkFb8cCA/edit?usp=sharing"",""เลย!J221"")"),0)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IFERROR(__xludf.DUMMYFUNCTION("IMPORTRANGE(""https://docs.google.com/spreadsheets/d/1XL5vhW3sbDhbH9Cz0tuDiY8C3ctxq1tqvaCgkFb8cCA/edit?usp=sharing"",""เลย!J222"")"),0)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IFERROR(__xludf.DUMMYFUNCTION("IMPORTRANGE(""https://docs.google.com/spreadsheets/d/1XL5vhW3sbDhbH9Cz0tuDiY8C3ctxq1tqvaCgkFb8cCA/edit?usp=sharing"",""เลย!J223"")"),0)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IFERROR(__xludf.DUMMYFUNCTION("IMPORTRANGE(""https://docs.google.com/spreadsheets/d/1XL5vhW3sbDhbH9Cz0tuDiY8C3ctxq1tqvaCgkFb8cCA/edit?usp=sharing"",""เลย!I224"")"),0)</f>
        <v>0</v>
      </c>
      <c r="J324" s="204">
        <f ca="1">IFERROR(__xludf.DUMMYFUNCTION("IMPORTRANGE(""https://docs.google.com/spreadsheets/d/1XL5vhW3sbDhbH9Cz0tuDiY8C3ctxq1tqvaCgkFb8cCA/edit?usp=sharing"",""เลย!J224"")"),0)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IFERROR(__xludf.DUMMYFUNCTION("IMPORTRANGE(""https://docs.google.com/spreadsheets/d/1XL5vhW3sbDhbH9Cz0tuDiY8C3ctxq1tqvaCgkFb8cCA/edit?usp=sharing"",""เลย!J225"")"),0)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IFERROR(__xludf.DUMMYFUNCTION("IMPORTRANGE(""https://docs.google.com/spreadsheets/d/1XL5vhW3sbDhbH9Cz0tuDiY8C3ctxq1tqvaCgkFb8cCA/edit?usp=sharing"",""เลย!J226"")"),0)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IFERROR(__xludf.DUMMYFUNCTION("IMPORTRANGE(""https://docs.google.com/spreadsheets/d/1XL5vhW3sbDhbH9Cz0tuDiY8C3ctxq1tqvaCgkFb8cCA/edit?usp=sharing"",""เลย!I228"")"),410)</f>
        <v>410</v>
      </c>
      <c r="J328" s="339">
        <f ca="1">IFERROR(__xludf.DUMMYFUNCTION("IMPORTRANGE(""https://docs.google.com/spreadsheets/d/1XL5vhW3sbDhbH9Cz0tuDiY8C3ctxq1tqvaCgkFb8cCA/edit?usp=sharing"",""เลย!J228"")"),467)</f>
        <v>467</v>
      </c>
      <c r="K328" s="317">
        <f ca="1">IF(I328&gt;0,J328*100/I328,0)</f>
        <v>113.90243902439025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54" t="s">
        <v>17</v>
      </c>
      <c r="E329" s="555"/>
      <c r="F329" s="555"/>
      <c r="G329" s="555"/>
      <c r="H329" s="149" t="s">
        <v>12</v>
      </c>
      <c r="I329" s="162"/>
      <c r="J329" s="162"/>
      <c r="K329" s="163"/>
      <c r="L329" s="152">
        <f t="shared" ref="L329:N329" ca="1" si="98">L330+L331</f>
        <v>964680</v>
      </c>
      <c r="M329" s="152">
        <f t="shared" ca="1" si="98"/>
        <v>695600</v>
      </c>
      <c r="N329" s="152">
        <f t="shared" ca="1" si="98"/>
        <v>458914.61</v>
      </c>
      <c r="O329" s="151">
        <f t="shared" ref="O329:O331" ca="1" si="99">IF(L329&gt;0,N329*100/L329,0)</f>
        <v>47.57169320396401</v>
      </c>
      <c r="P329" s="151">
        <f t="shared" ref="P329:P331" ca="1" si="100">IF(M329&gt;0,N329*100/M329,0)</f>
        <v>65.973923231742376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964680</v>
      </c>
      <c r="M331" s="157">
        <f t="shared" ca="1" si="102"/>
        <v>695600</v>
      </c>
      <c r="N331" s="157">
        <f t="shared" ca="1" si="102"/>
        <v>458914.61</v>
      </c>
      <c r="O331" s="156">
        <f t="shared" ca="1" si="99"/>
        <v>47.57169320396401</v>
      </c>
      <c r="P331" s="156">
        <f t="shared" ca="1" si="100"/>
        <v>65.973923231742376</v>
      </c>
    </row>
    <row r="332" spans="1:16" ht="21.75" customHeight="1" x14ac:dyDescent="0.45">
      <c r="A332" s="158"/>
      <c r="B332" s="159"/>
      <c r="C332" s="159" t="s">
        <v>16</v>
      </c>
      <c r="D332" s="552" t="s">
        <v>20</v>
      </c>
      <c r="E332" s="553"/>
      <c r="F332" s="55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964680</v>
      </c>
      <c r="M333" s="537">
        <f ca="1">IFERROR(__xludf.DUMMYFUNCTION("IMPORTRANGE(""https://docs.google.com/spreadsheets/d/1Yj_ptqi66GCucihVvJfMjLAmec39IyEx_6qawtMGysU/edit?usp=sharing"",""สบก!DL49"")"),695600)</f>
        <v>695600</v>
      </c>
      <c r="N333" s="538">
        <f ca="1">IFERROR(__xludf.DUMMYFUNCTION("IMPORTRANGE(""https://docs.google.com/spreadsheets/d/1Yj_ptqi66GCucihVvJfMjLAmec39IyEx_6qawtMGysU/edit?usp=sharing"",""สบก!DM49"")"),458914.61)</f>
        <v>458914.61</v>
      </c>
      <c r="O333" s="169">
        <f ca="1">IF(L333&gt;0,N333*100/L333,0)</f>
        <v>47.57169320396401</v>
      </c>
      <c r="P333" s="169">
        <f ca="1">IF(M333&gt;0,N333*100/M333,0)</f>
        <v>65.973923231742376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537">
        <f ca="1">IFERROR(__xludf.DUMMYFUNCTION("IMPORTRANGE(""https://docs.google.com/spreadsheets/d/1Yj_ptqi66GCucihVvJfMjLAmec39IyEx_6qawtMGysU/edit?usp=sharing"",""สบก!DH49"")"),306000)</f>
        <v>306000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537">
        <f ca="1">IFERROR(__xludf.DUMMYFUNCTION("IMPORTRANGE(""https://docs.google.com/spreadsheets/d/1Yj_ptqi66GCucihVvJfMjLAmec39IyEx_6qawtMGysU/edit?usp=sharing"",""สบก!DI49"")"),658680)</f>
        <v>658680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52" t="s">
        <v>23</v>
      </c>
      <c r="E336" s="553"/>
      <c r="F336" s="89"/>
      <c r="G336" s="82" t="s">
        <v>18</v>
      </c>
      <c r="H336" s="172" t="s">
        <v>12</v>
      </c>
      <c r="I336" s="162"/>
      <c r="J336" s="162"/>
      <c r="K336" s="163"/>
      <c r="L336" s="535">
        <v>0</v>
      </c>
      <c r="M336" s="535"/>
      <c r="N336" s="41"/>
      <c r="O336" s="535"/>
      <c r="P336" s="535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533">
        <f ca="1">IFERROR(__xludf.DUMMYFUNCTION("IMPORTRANGE(""https://docs.google.com/spreadsheets/d/1Yj_ptqi66GCucihVvJfMjLAmec39IyEx_6qawtMGysU/edit?usp=sharing"",""สบก!DJ49"")"),0)</f>
        <v>0</v>
      </c>
      <c r="M337" s="536"/>
      <c r="N337" s="533">
        <f ca="1">IFERROR(__xludf.DUMMYFUNCTION("IMPORTRANGE(""https://docs.google.com/spreadsheets/d/1Yj_ptqi66GCucihVvJfMjLAmec39IyEx_6qawtMGysU/edit?usp=sharing"",""สบก!DN49"")"),0)</f>
        <v>0</v>
      </c>
      <c r="O337" s="536">
        <f ca="1">IF(L337&gt;0,N337*100/L337,0)</f>
        <v>0</v>
      </c>
      <c r="P337" s="536"/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IFERROR(__xludf.DUMMYFUNCTION("IMPORTRANGE(""https://docs.google.com/spreadsheets/d/1XL5vhW3sbDhbH9Cz0tuDiY8C3ctxq1tqvaCgkFb8cCA/edit?usp=sharing"",""เลย!I234"")"),0)</f>
        <v>0</v>
      </c>
      <c r="J339" s="188">
        <f ca="1">IFERROR(__xludf.DUMMYFUNCTION("IMPORTRANGE(""https://docs.google.com/spreadsheets/d/1XL5vhW3sbDhbH9Cz0tuDiY8C3ctxq1tqvaCgkFb8cCA/edit?usp=sharing"",""เลย!J234"")"),205)</f>
        <v>205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IFERROR(__xludf.DUMMYFUNCTION("IMPORTRANGE(""https://docs.google.com/spreadsheets/d/1XL5vhW3sbDhbH9Cz0tuDiY8C3ctxq1tqvaCgkFb8cCA/edit?usp=sharing"",""เลย!I235"")"),4040)</f>
        <v>4040</v>
      </c>
      <c r="J340" s="188">
        <f ca="1">IFERROR(__xludf.DUMMYFUNCTION("IMPORTRANGE(""https://docs.google.com/spreadsheets/d/1XL5vhW3sbDhbH9Cz0tuDiY8C3ctxq1tqvaCgkFb8cCA/edit?usp=sharing"",""เลย!J235"")"),2114.19)</f>
        <v>2114.19</v>
      </c>
      <c r="K340" s="342">
        <f t="shared" ca="1" si="103"/>
        <v>52.331435643564355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IFERROR(__xludf.DUMMYFUNCTION("IMPORTRANGE(""https://docs.google.com/spreadsheets/d/1XL5vhW3sbDhbH9Cz0tuDiY8C3ctxq1tqvaCgkFb8cCA/edit?usp=sharing"",""เลย!I236"")"),410)</f>
        <v>410</v>
      </c>
      <c r="J341" s="188">
        <f ca="1">IFERROR(__xludf.DUMMYFUNCTION("IMPORTRANGE(""https://docs.google.com/spreadsheets/d/1XL5vhW3sbDhbH9Cz0tuDiY8C3ctxq1tqvaCgkFb8cCA/edit?usp=sharing"",""เลย!J236"")"),457)</f>
        <v>457</v>
      </c>
      <c r="K341" s="342">
        <f t="shared" ca="1" si="103"/>
        <v>111.46341463414635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IFERROR(__xludf.DUMMYFUNCTION("IMPORTRANGE(""https://docs.google.com/spreadsheets/d/1XL5vhW3sbDhbH9Cz0tuDiY8C3ctxq1tqvaCgkFb8cCA/edit?usp=sharing"",""เลย!I237"")"),0)</f>
        <v>0</v>
      </c>
      <c r="J342" s="188">
        <f ca="1">IFERROR(__xludf.DUMMYFUNCTION("IMPORTRANGE(""https://docs.google.com/spreadsheets/d/1XL5vhW3sbDhbH9Cz0tuDiY8C3ctxq1tqvaCgkFb8cCA/edit?usp=sharing"",""เลย!J237"")"),6280.34)</f>
        <v>6280.34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IFERROR(__xludf.DUMMYFUNCTION("IMPORTRANGE(""https://docs.google.com/spreadsheets/d/1XL5vhW3sbDhbH9Cz0tuDiY8C3ctxq1tqvaCgkFb8cCA/edit?usp=sharing"",""เลย!I238"")"),410)</f>
        <v>410</v>
      </c>
      <c r="J343" s="188">
        <f ca="1">IFERROR(__xludf.DUMMYFUNCTION("IMPORTRANGE(""https://docs.google.com/spreadsheets/d/1XL5vhW3sbDhbH9Cz0tuDiY8C3ctxq1tqvaCgkFb8cCA/edit?usp=sharing"",""เลย!J238"")"),2)</f>
        <v>2</v>
      </c>
      <c r="K343" s="342">
        <f t="shared" ca="1" si="103"/>
        <v>0.48780487804878048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IFERROR(__xludf.DUMMYFUNCTION("IMPORTRANGE(""https://docs.google.com/spreadsheets/d/1XL5vhW3sbDhbH9Cz0tuDiY8C3ctxq1tqvaCgkFb8cCA/edit?usp=sharing"",""เลย!I239"")"),0)</f>
        <v>0</v>
      </c>
      <c r="J344" s="188">
        <f ca="1">IFERROR(__xludf.DUMMYFUNCTION("IMPORTRANGE(""https://docs.google.com/spreadsheets/d/1XL5vhW3sbDhbH9Cz0tuDiY8C3ctxq1tqvaCgkFb8cCA/edit?usp=sharing"",""เลย!J239"")"),27.14)</f>
        <v>27.14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IFERROR(__xludf.DUMMYFUNCTION("IMPORTRANGE(""https://docs.google.com/spreadsheets/d/1XL5vhW3sbDhbH9Cz0tuDiY8C3ctxq1tqvaCgkFb8cCA/edit?usp=sharing"",""เลย!I240"")"),410)</f>
        <v>410</v>
      </c>
      <c r="J345" s="188">
        <f ca="1">IFERROR(__xludf.DUMMYFUNCTION("IMPORTRANGE(""https://docs.google.com/spreadsheets/d/1XL5vhW3sbDhbH9Cz0tuDiY8C3ctxq1tqvaCgkFb8cCA/edit?usp=sharing"",""เลย!J240"")"),467)</f>
        <v>467</v>
      </c>
      <c r="K345" s="342">
        <f t="shared" ca="1" si="103"/>
        <v>113.90243902439025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IFERROR(__xludf.DUMMYFUNCTION("IMPORTRANGE(""https://docs.google.com/spreadsheets/d/1XL5vhW3sbDhbH9Cz0tuDiY8C3ctxq1tqvaCgkFb8cCA/edit?usp=sharing"",""เลย!I241"")"),0)</f>
        <v>0</v>
      </c>
      <c r="J346" s="188">
        <f ca="1">IFERROR(__xludf.DUMMYFUNCTION("IMPORTRANGE(""https://docs.google.com/spreadsheets/d/1XL5vhW3sbDhbH9Cz0tuDiY8C3ctxq1tqvaCgkFb8cCA/edit?usp=sharing"",""เลย!J241"")"),6416.51)</f>
        <v>6416.51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IFERROR(__xludf.DUMMYFUNCTION("IMPORTRANGE(""https://docs.google.com/spreadsheets/d/1XL5vhW3sbDhbH9Cz0tuDiY8C3ctxq1tqvaCgkFb8cCA/edit?usp=sharing"",""เลย!L242"")"),3027346)</f>
        <v>3027346</v>
      </c>
      <c r="M347" s="358"/>
      <c r="N347" s="358">
        <f ca="1">IFERROR(__xludf.DUMMYFUNCTION("IMPORTRANGE(""https://docs.google.com/spreadsheets/d/1XL5vhW3sbDhbH9Cz0tuDiY8C3ctxq1tqvaCgkFb8cCA/edit?usp=sharing"",""เลย!M242"")"),807524.07)</f>
        <v>807524.07</v>
      </c>
      <c r="O347" s="358">
        <f ca="1">+IF(L347&gt;0,N347*100/L347,0)</f>
        <v>26.674323648502682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IFERROR(__xludf.DUMMYFUNCTION("IMPORTRANGE(""https://docs.google.com/spreadsheets/d/1XL5vhW3sbDhbH9Cz0tuDiY8C3ctxq1tqvaCgkFb8cCA/edit?usp=sharing"",""เลย!I244"")"),235)</f>
        <v>235</v>
      </c>
      <c r="J349" s="371">
        <f ca="1">IFERROR(__xludf.DUMMYFUNCTION("IMPORTRANGE(""https://docs.google.com/spreadsheets/d/1XL5vhW3sbDhbH9Cz0tuDiY8C3ctxq1tqvaCgkFb8cCA/edit?usp=sharing"",""เลย!J244"")"),0)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IFERROR(__xludf.DUMMYFUNCTION("IMPORTRANGE(""https://docs.google.com/spreadsheets/d/1XL5vhW3sbDhbH9Cz0tuDiY8C3ctxq1tqvaCgkFb8cCA/edit?usp=sharing"",""เลย!L244"")"),509680)</f>
        <v>509680</v>
      </c>
      <c r="M349" s="373"/>
      <c r="N349" s="373">
        <f ca="1">IFERROR(__xludf.DUMMYFUNCTION("IMPORTRANGE(""https://docs.google.com/spreadsheets/d/1XL5vhW3sbDhbH9Cz0tuDiY8C3ctxq1tqvaCgkFb8cCA/edit?usp=sharing"",""เลย!M244"")"),115389)</f>
        <v>115389</v>
      </c>
      <c r="O349" s="373">
        <f ca="1">+IF(L349&gt;0,N349*100/L349,0)</f>
        <v>22.639499293674461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IFERROR(__xludf.DUMMYFUNCTION("IMPORTRANGE(""https://docs.google.com/spreadsheets/d/1XL5vhW3sbDhbH9Cz0tuDiY8C3ctxq1tqvaCgkFb8cCA/edit?usp=sharing"",""เลย!I245"")"),90)</f>
        <v>90</v>
      </c>
      <c r="J350" s="371">
        <f ca="1">IFERROR(__xludf.DUMMYFUNCTION("IMPORTRANGE(""https://docs.google.com/spreadsheets/d/1XL5vhW3sbDhbH9Cz0tuDiY8C3ctxq1tqvaCgkFb8cCA/edit?usp=sharing"",""เลย!J245"")"),90)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IFERROR(__xludf.DUMMYFUNCTION("IMPORTRANGE(""https://docs.google.com/spreadsheets/d/1XL5vhW3sbDhbH9Cz0tuDiY8C3ctxq1tqvaCgkFb8cCA/edit?usp=sharing"",""เลย!L246"")"),0)</f>
        <v>0</v>
      </c>
      <c r="M351" s="164"/>
      <c r="N351" s="164">
        <f ca="1">IFERROR(__xludf.DUMMYFUNCTION("IMPORTRANGE(""https://docs.google.com/spreadsheets/d/1XL5vhW3sbDhbH9Cz0tuDiY8C3ctxq1tqvaCgkFb8cCA/edit?usp=sharing"",""เลย!M246"")"),0)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IFERROR(__xludf.DUMMYFUNCTION("IMPORTRANGE(""https://docs.google.com/spreadsheets/d/1XL5vhW3sbDhbH9Cz0tuDiY8C3ctxq1tqvaCgkFb8cCA/edit?usp=sharing"",""เลย!L247"")"),509680)</f>
        <v>509680</v>
      </c>
      <c r="M352" s="165"/>
      <c r="N352" s="164">
        <f ca="1">IFERROR(__xludf.DUMMYFUNCTION("IMPORTRANGE(""https://docs.google.com/spreadsheets/d/1XL5vhW3sbDhbH9Cz0tuDiY8C3ctxq1tqvaCgkFb8cCA/edit?usp=sharing"",""เลย!M247"")"),115389)</f>
        <v>115389</v>
      </c>
      <c r="O352" s="165">
        <f t="shared" ca="1" si="105"/>
        <v>22.639499293674461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IFERROR(__xludf.DUMMYFUNCTION("IMPORTRANGE(""https://docs.google.com/spreadsheets/d/1XL5vhW3sbDhbH9Cz0tuDiY8C3ctxq1tqvaCgkFb8cCA/edit?usp=sharing"",""เลย!L248"")"),0)</f>
        <v>0</v>
      </c>
      <c r="M353" s="169"/>
      <c r="N353" s="169">
        <f ca="1">IFERROR(__xludf.DUMMYFUNCTION("IMPORTRANGE(""https://docs.google.com/spreadsheets/d/1XL5vhW3sbDhbH9Cz0tuDiY8C3ctxq1tqvaCgkFb8cCA/edit?usp=sharing"",""เลย!M248"")"),0)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IFERROR(__xludf.DUMMYFUNCTION("IMPORTRANGE(""https://docs.google.com/spreadsheets/d/1XL5vhW3sbDhbH9Cz0tuDiY8C3ctxq1tqvaCgkFb8cCA/edit?usp=sharing"",""เลย!L249"")"),509680)</f>
        <v>509680</v>
      </c>
      <c r="M354" s="169"/>
      <c r="N354" s="168">
        <f ca="1">IFERROR(__xludf.DUMMYFUNCTION("IMPORTRANGE(""https://docs.google.com/spreadsheets/d/1XL5vhW3sbDhbH9Cz0tuDiY8C3ctxq1tqvaCgkFb8cCA/edit?usp=sharing"",""เลย!M249"")"),115389)</f>
        <v>115389</v>
      </c>
      <c r="O354" s="169">
        <f t="shared" ca="1" si="105"/>
        <v>22.639499293674461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IFERROR(__xludf.DUMMYFUNCTION("IMPORTRANGE(""https://docs.google.com/spreadsheets/d/1XL5vhW3sbDhbH9Cz0tuDiY8C3ctxq1tqvaCgkFb8cCA/edit?usp=sharing"",""เลย!M250"")"),0)</f>
        <v>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IFERROR(__xludf.DUMMYFUNCTION("IMPORTRANGE(""https://docs.google.com/spreadsheets/d/1XL5vhW3sbDhbH9Cz0tuDiY8C3ctxq1tqvaCgkFb8cCA/edit?usp=sharing"",""เลย!M251"")"),0)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IFERROR(__xludf.DUMMYFUNCTION("IMPORTRANGE(""https://docs.google.com/spreadsheets/d/1XL5vhW3sbDhbH9Cz0tuDiY8C3ctxq1tqvaCgkFb8cCA/edit?usp=sharing"",""เลย!M252"")"),53899)</f>
        <v>53899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IFERROR(__xludf.DUMMYFUNCTION("IMPORTRANGE(""https://docs.google.com/spreadsheets/d/1XL5vhW3sbDhbH9Cz0tuDiY8C3ctxq1tqvaCgkFb8cCA/edit?usp=sharing"",""เลย!M253"")"),61490)</f>
        <v>61490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IFERROR(__xludf.DUMMYFUNCTION("IMPORTRANGE(""https://docs.google.com/spreadsheets/d/1XL5vhW3sbDhbH9Cz0tuDiY8C3ctxq1tqvaCgkFb8cCA/edit?usp=sharing"",""เลย!J255"")"),0)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IFERROR(__xludf.DUMMYFUNCTION("IMPORTRANGE(""https://docs.google.com/spreadsheets/d/1XL5vhW3sbDhbH9Cz0tuDiY8C3ctxq1tqvaCgkFb8cCA/edit?usp=sharing"",""เลย!J256"")"),1)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IFERROR(__xludf.DUMMYFUNCTION("IMPORTRANGE(""https://docs.google.com/spreadsheets/d/1XL5vhW3sbDhbH9Cz0tuDiY8C3ctxq1tqvaCgkFb8cCA/edit?usp=sharing"",""เลย!J257"")"),1)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IFERROR(__xludf.DUMMYFUNCTION("IMPORTRANGE(""https://docs.google.com/spreadsheets/d/1XL5vhW3sbDhbH9Cz0tuDiY8C3ctxq1tqvaCgkFb8cCA/edit?usp=sharing"",""เลย!J258"")"),0)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IFERROR(__xludf.DUMMYFUNCTION("IMPORTRANGE(""https://docs.google.com/spreadsheets/d/1XL5vhW3sbDhbH9Cz0tuDiY8C3ctxq1tqvaCgkFb8cCA/edit?usp=sharing"",""เลย!J166"")"),0)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IFERROR(__xludf.DUMMYFUNCTION("IMPORTRANGE(""https://docs.google.com/spreadsheets/d/1XL5vhW3sbDhbH9Cz0tuDiY8C3ctxq1tqvaCgkFb8cCA/edit?usp=sharing"",""เลย!J166"")"),0)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IFERROR(__xludf.DUMMYFUNCTION("IMPORTRANGE(""https://docs.google.com/spreadsheets/d/1XL5vhW3sbDhbH9Cz0tuDiY8C3ctxq1tqvaCgkFb8cCA/edit?usp=sharing"",""เลย!J166"")"),0)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IFERROR(__xludf.DUMMYFUNCTION("IMPORTRANGE(""https://docs.google.com/spreadsheets/d/1XL5vhW3sbDhbH9Cz0tuDiY8C3ctxq1tqvaCgkFb8cCA/edit?usp=sharing"",""เลย!J166"")"),0)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IFERROR(__xludf.DUMMYFUNCTION("IMPORTRANGE(""https://docs.google.com/spreadsheets/d/1XL5vhW3sbDhbH9Cz0tuDiY8C3ctxq1tqvaCgkFb8cCA/edit?usp=sharing"",""เลย!I263"")"),90)</f>
        <v>90</v>
      </c>
      <c r="J368" s="188">
        <f ca="1">IFERROR(__xludf.DUMMYFUNCTION("IMPORTRANGE(""https://docs.google.com/spreadsheets/d/1XL5vhW3sbDhbH9Cz0tuDiY8C3ctxq1tqvaCgkFb8cCA/edit?usp=sharing"",""เลย!J263"")"),90)</f>
        <v>90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IFERROR(__xludf.DUMMYFUNCTION("IMPORTRANGE(""https://docs.google.com/spreadsheets/d/1XL5vhW3sbDhbH9Cz0tuDiY8C3ctxq1tqvaCgkFb8cCA/edit?usp=sharing"",""เลย!I164"")"),0)</f>
        <v>0</v>
      </c>
      <c r="J369" s="204">
        <f ca="1">IFERROR(__xludf.DUMMYFUNCTION("IMPORTRANGE(""https://docs.google.com/spreadsheets/d/1XL5vhW3sbDhbH9Cz0tuDiY8C3ctxq1tqvaCgkFb8cCA/edit?usp=sharing"",""เลย!J164"")"),0)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293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IFERROR(__xludf.DUMMYFUNCTION("IMPORTRANGE(""https://docs.google.com/spreadsheets/d/1XL5vhW3sbDhbH9Cz0tuDiY8C3ctxq1tqvaCgkFb8cCA/edit?usp=sharing"",""เลย!I265"")"),90)</f>
        <v>90</v>
      </c>
      <c r="J370" s="204">
        <f ca="1">IFERROR(__xludf.DUMMYFUNCTION("IMPORTRANGE(""https://docs.google.com/spreadsheets/d/1XL5vhW3sbDhbH9Cz0tuDiY8C3ctxq1tqvaCgkFb8cCA/edit?usp=sharing"",""เลย!J265"")"),90)</f>
        <v>90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IFERROR(__xludf.DUMMYFUNCTION("IMPORTRANGE(""https://docs.google.com/spreadsheets/d/1XL5vhW3sbDhbH9Cz0tuDiY8C3ctxq1tqvaCgkFb8cCA/edit?usp=sharing"",""เลย!I164"")"),0)</f>
        <v>0</v>
      </c>
      <c r="J371" s="189">
        <f ca="1">IFERROR(__xludf.DUMMYFUNCTION("IMPORTRANGE(""https://docs.google.com/spreadsheets/d/1XL5vhW3sbDhbH9Cz0tuDiY8C3ctxq1tqvaCgkFb8cCA/edit?usp=sharing"",""เลย!J164"")"),0)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293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IFERROR(__xludf.DUMMYFUNCTION("IMPORTRANGE(""https://docs.google.com/spreadsheets/d/1XL5vhW3sbDhbH9Cz0tuDiY8C3ctxq1tqvaCgkFb8cCA/edit?usp=sharing"",""เลย!I267"")"),90)</f>
        <v>90</v>
      </c>
      <c r="J372" s="189">
        <f ca="1">IFERROR(__xludf.DUMMYFUNCTION("IMPORTRANGE(""https://docs.google.com/spreadsheets/d/1XL5vhW3sbDhbH9Cz0tuDiY8C3ctxq1tqvaCgkFb8cCA/edit?usp=sharing"",""เลย!J267"")"),90)</f>
        <v>90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IFERROR(__xludf.DUMMYFUNCTION("IMPORTRANGE(""https://docs.google.com/spreadsheets/d/1XL5vhW3sbDhbH9Cz0tuDiY8C3ctxq1tqvaCgkFb8cCA/edit?usp=sharing"",""เลย!I164"")"),0)</f>
        <v>0</v>
      </c>
      <c r="J373" s="204">
        <f ca="1">IFERROR(__xludf.DUMMYFUNCTION("IMPORTRANGE(""https://docs.google.com/spreadsheets/d/1XL5vhW3sbDhbH9Cz0tuDiY8C3ctxq1tqvaCgkFb8cCA/edit?usp=sharing"",""เลย!J164"")"),0)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IFERROR(__xludf.DUMMYFUNCTION("IMPORTRANGE(""https://docs.google.com/spreadsheets/d/1XL5vhW3sbDhbH9Cz0tuDiY8C3ctxq1tqvaCgkFb8cCA/edit?usp=sharing"",""เลย!I164"")"),0)</f>
        <v>0</v>
      </c>
      <c r="J374" s="188">
        <f ca="1">IFERROR(__xludf.DUMMYFUNCTION("IMPORTRANGE(""https://docs.google.com/spreadsheets/d/1XL5vhW3sbDhbH9Cz0tuDiY8C3ctxq1tqvaCgkFb8cCA/edit?usp=sharing"",""เลย!J164"")"),0)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IFERROR(__xludf.DUMMYFUNCTION("IMPORTRANGE(""https://docs.google.com/spreadsheets/d/1XL5vhW3sbDhbH9Cz0tuDiY8C3ctxq1tqvaCgkFb8cCA/edit?usp=sharing"",""เลย!I270"")"),235)</f>
        <v>235</v>
      </c>
      <c r="J375" s="188">
        <f ca="1">IFERROR(__xludf.DUMMYFUNCTION("IMPORTRANGE(""https://docs.google.com/spreadsheets/d/1XL5vhW3sbDhbH9Cz0tuDiY8C3ctxq1tqvaCgkFb8cCA/edit?usp=sharing"",""เลย!J270"")"),0)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IFERROR(__xludf.DUMMYFUNCTION("IMPORTRANGE(""https://docs.google.com/spreadsheets/d/1XL5vhW3sbDhbH9Cz0tuDiY8C3ctxq1tqvaCgkFb8cCA/edit?usp=sharing"",""เลย!I271"")"),100)</f>
        <v>100</v>
      </c>
      <c r="J376" s="189">
        <f ca="1">IFERROR(__xludf.DUMMYFUNCTION("IMPORTRANGE(""https://docs.google.com/spreadsheets/d/1XL5vhW3sbDhbH9Cz0tuDiY8C3ctxq1tqvaCgkFb8cCA/edit?usp=sharing"",""เลย!J271"")"),0)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IFERROR(__xludf.DUMMYFUNCTION("IMPORTRANGE(""https://docs.google.com/spreadsheets/d/1XL5vhW3sbDhbH9Cz0tuDiY8C3ctxq1tqvaCgkFb8cCA/edit?usp=sharing"",""เลย!I272"")"),135)</f>
        <v>135</v>
      </c>
      <c r="J377" s="204">
        <f ca="1">IFERROR(__xludf.DUMMYFUNCTION("IMPORTRANGE(""https://docs.google.com/spreadsheets/d/1XL5vhW3sbDhbH9Cz0tuDiY8C3ctxq1tqvaCgkFb8cCA/edit?usp=sharing"",""เลย!J272"")"),0)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IFERROR(__xludf.DUMMYFUNCTION("IMPORTRANGE(""https://docs.google.com/spreadsheets/d/1XL5vhW3sbDhbH9Cz0tuDiY8C3ctxq1tqvaCgkFb8cCA/edit?usp=sharing"",""เลย!J273"")"),0)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IFERROR(__xludf.DUMMYFUNCTION("IMPORTRANGE(""https://docs.google.com/spreadsheets/d/1XL5vhW3sbDhbH9Cz0tuDiY8C3ctxq1tqvaCgkFb8cCA/edit?usp=sharing"",""เลย!J274"")"),0)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IFERROR(__xludf.DUMMYFUNCTION("IMPORTRANGE(""https://docs.google.com/spreadsheets/d/1XL5vhW3sbDhbH9Cz0tuDiY8C3ctxq1tqvaCgkFb8cCA/edit?usp=sharing"",""เลย!I275"")"),1000)</f>
        <v>1000</v>
      </c>
      <c r="J380" s="371">
        <f ca="1">IFERROR(__xludf.DUMMYFUNCTION("IMPORTRANGE(""https://docs.google.com/spreadsheets/d/1XL5vhW3sbDhbH9Cz0tuDiY8C3ctxq1tqvaCgkFb8cCA/edit?usp=sharing"",""เลย!J275"")"),0)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IFERROR(__xludf.DUMMYFUNCTION("IMPORTRANGE(""https://docs.google.com/spreadsheets/d/1XL5vhW3sbDhbH9Cz0tuDiY8C3ctxq1tqvaCgkFb8cCA/edit?usp=sharing"",""เลย!L275"")"),1028520)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IFERROR(__xludf.DUMMYFUNCTION("IMPORTRANGE(""https://docs.google.com/spreadsheets/d/1XL5vhW3sbDhbH9Cz0tuDiY8C3ctxq1tqvaCgkFb8cCA/edit?usp=sharing"",""เลย!M275"")"),118293)</f>
        <v>118293</v>
      </c>
      <c r="O380" s="373">
        <f ca="1">+IF(L380&gt;0,N380*100/L380,0)</f>
        <v>11.501283397503208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IFERROR(__xludf.DUMMYFUNCTION("IMPORTRANGE(""https://docs.google.com/spreadsheets/d/1XL5vhW3sbDhbH9Cz0tuDiY8C3ctxq1tqvaCgkFb8cCA/edit?usp=sharing"",""เลย!I276"")"),100)</f>
        <v>100</v>
      </c>
      <c r="J381" s="371">
        <f ca="1">IFERROR(__xludf.DUMMYFUNCTION("IMPORTRANGE(""https://docs.google.com/spreadsheets/d/1XL5vhW3sbDhbH9Cz0tuDiY8C3ctxq1tqvaCgkFb8cCA/edit?usp=sharing"",""เลย!J276"")"),100)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IFERROR(__xludf.DUMMYFUNCTION("IMPORTRANGE(""https://docs.google.com/spreadsheets/d/1XL5vhW3sbDhbH9Cz0tuDiY8C3ctxq1tqvaCgkFb8cCA/edit?usp=sharing"",""เลย!L277"")"),0)</f>
        <v>0</v>
      </c>
      <c r="M382" s="164"/>
      <c r="N382" s="164">
        <f ca="1">IFERROR(__xludf.DUMMYFUNCTION("IMPORTRANGE(""https://docs.google.com/spreadsheets/d/1XL5vhW3sbDhbH9Cz0tuDiY8C3ctxq1tqvaCgkFb8cCA/edit?usp=sharing"",""เลย!M277"")"),0)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IFERROR(__xludf.DUMMYFUNCTION("IMPORTRANGE(""https://docs.google.com/spreadsheets/d/1XL5vhW3sbDhbH9Cz0tuDiY8C3ctxq1tqvaCgkFb8cCA/edit?usp=sharing"",""เลย!L278"")"),1028520)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IFERROR(__xludf.DUMMYFUNCTION("IMPORTRANGE(""https://docs.google.com/spreadsheets/d/1XL5vhW3sbDhbH9Cz0tuDiY8C3ctxq1tqvaCgkFb8cCA/edit?usp=sharing"",""เลย!M278"")"),118293)</f>
        <v>118293</v>
      </c>
      <c r="O383" s="165">
        <f t="shared" ca="1" si="109"/>
        <v>11.501283397503208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IFERROR(__xludf.DUMMYFUNCTION("IMPORTRANGE(""https://docs.google.com/spreadsheets/d/1XL5vhW3sbDhbH9Cz0tuDiY8C3ctxq1tqvaCgkFb8cCA/edit?usp=sharing"",""เลย!L279"")"),0)</f>
        <v>0</v>
      </c>
      <c r="M384" s="169"/>
      <c r="N384" s="169">
        <f ca="1">IFERROR(__xludf.DUMMYFUNCTION("IMPORTRANGE(""https://docs.google.com/spreadsheets/d/1XL5vhW3sbDhbH9Cz0tuDiY8C3ctxq1tqvaCgkFb8cCA/edit?usp=sharing"",""เลย!M279"")"),0)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IFERROR(__xludf.DUMMYFUNCTION("IMPORTRANGE(""https://docs.google.com/spreadsheets/d/1XL5vhW3sbDhbH9Cz0tuDiY8C3ctxq1tqvaCgkFb8cCA/edit?usp=sharing"",""เลย!L280"")"),1028520)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IFERROR(__xludf.DUMMYFUNCTION("IMPORTRANGE(""https://docs.google.com/spreadsheets/d/1XL5vhW3sbDhbH9Cz0tuDiY8C3ctxq1tqvaCgkFb8cCA/edit?usp=sharing"",""เลย!M280"")"),118293)</f>
        <v>118293</v>
      </c>
      <c r="O385" s="169">
        <f t="shared" ca="1" si="109"/>
        <v>11.501283397503208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IFERROR(__xludf.DUMMYFUNCTION("IMPORTRANGE(""https://docs.google.com/spreadsheets/d/1XL5vhW3sbDhbH9Cz0tuDiY8C3ctxq1tqvaCgkFb8cCA/edit?usp=sharing"",""เลย!M281"")"),83100)</f>
        <v>83100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IFERROR(__xludf.DUMMYFUNCTION("IMPORTRANGE(""https://docs.google.com/spreadsheets/d/1XL5vhW3sbDhbH9Cz0tuDiY8C3ctxq1tqvaCgkFb8cCA/edit?usp=sharing"",""เลย!M282"")"),0)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IFERROR(__xludf.DUMMYFUNCTION("IMPORTRANGE(""https://docs.google.com/spreadsheets/d/1XL5vhW3sbDhbH9Cz0tuDiY8C3ctxq1tqvaCgkFb8cCA/edit?usp=sharing"",""เลย!M283"")"),35193)</f>
        <v>35193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IFERROR(__xludf.DUMMYFUNCTION("IMPORTRANGE(""https://docs.google.com/spreadsheets/d/1XL5vhW3sbDhbH9Cz0tuDiY8C3ctxq1tqvaCgkFb8cCA/edit?usp=sharing"",""เลย!M284"")"),0)</f>
        <v>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IFERROR(__xludf.DUMMYFUNCTION("IMPORTRANGE(""https://docs.google.com/spreadsheets/d/1XL5vhW3sbDhbH9Cz0tuDiY8C3ctxq1tqvaCgkFb8cCA/edit?usp=sharing"",""เลย!J286"")"),0)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IFERROR(__xludf.DUMMYFUNCTION("IMPORTRANGE(""https://docs.google.com/spreadsheets/d/1XL5vhW3sbDhbH9Cz0tuDiY8C3ctxq1tqvaCgkFb8cCA/edit?usp=sharing"",""เลย!J287"")"),1)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IFERROR(__xludf.DUMMYFUNCTION("IMPORTRANGE(""https://docs.google.com/spreadsheets/d/1XL5vhW3sbDhbH9Cz0tuDiY8C3ctxq1tqvaCgkFb8cCA/edit?usp=sharing"",""เลย!J288"")"),1)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IFERROR(__xludf.DUMMYFUNCTION("IMPORTRANGE(""https://docs.google.com/spreadsheets/d/1XL5vhW3sbDhbH9Cz0tuDiY8C3ctxq1tqvaCgkFb8cCA/edit?usp=sharing"",""เลย!J289"")"),1)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IFERROR(__xludf.DUMMYFUNCTION("IMPORTRANGE(""https://docs.google.com/spreadsheets/d/1XL5vhW3sbDhbH9Cz0tuDiY8C3ctxq1tqvaCgkFb8cCA/edit?usp=sharing"",""เลย!I291"")"),100)</f>
        <v>100</v>
      </c>
      <c r="J396" s="198">
        <f ca="1">IFERROR(__xludf.DUMMYFUNCTION("IMPORTRANGE(""https://docs.google.com/spreadsheets/d/1XL5vhW3sbDhbH9Cz0tuDiY8C3ctxq1tqvaCgkFb8cCA/edit?usp=sharing"",""เลย!J291"")"),100)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IFERROR(__xludf.DUMMYFUNCTION("IMPORTRANGE(""https://docs.google.com/spreadsheets/d/1XL5vhW3sbDhbH9Cz0tuDiY8C3ctxq1tqvaCgkFb8cCA/edit?usp=sharing"",""เลย!I292"")"),1000)</f>
        <v>1000</v>
      </c>
      <c r="J397" s="198">
        <f ca="1">IFERROR(__xludf.DUMMYFUNCTION("IMPORTRANGE(""https://docs.google.com/spreadsheets/d/1XL5vhW3sbDhbH9Cz0tuDiY8C3ctxq1tqvaCgkFb8cCA/edit?usp=sharing"",""เลย!J292"")"),0)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IFERROR(__xludf.DUMMYFUNCTION("IMPORTRANGE(""https://docs.google.com/spreadsheets/d/1XL5vhW3sbDhbH9Cz0tuDiY8C3ctxq1tqvaCgkFb8cCA/edit?usp=sharing"",""เลย!I293"")"),100)</f>
        <v>100</v>
      </c>
      <c r="J398" s="198">
        <f ca="1">IFERROR(__xludf.DUMMYFUNCTION("IMPORTRANGE(""https://docs.google.com/spreadsheets/d/1XL5vhW3sbDhbH9Cz0tuDiY8C3ctxq1tqvaCgkFb8cCA/edit?usp=sharing"",""เลย!J293"")"),0)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IFERROR(__xludf.DUMMYFUNCTION("IMPORTRANGE(""https://docs.google.com/spreadsheets/d/1XL5vhW3sbDhbH9Cz0tuDiY8C3ctxq1tqvaCgkFb8cCA/edit?usp=sharing"",""เลย!J294"")"),0)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IFERROR(__xludf.DUMMYFUNCTION("IMPORTRANGE(""https://docs.google.com/spreadsheets/d/1XL5vhW3sbDhbH9Cz0tuDiY8C3ctxq1tqvaCgkFb8cCA/edit?usp=sharing"",""เลย!J295"")"),0)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IFERROR(__xludf.DUMMYFUNCTION("IMPORTRANGE(""https://docs.google.com/spreadsheets/d/1XL5vhW3sbDhbH9Cz0tuDiY8C3ctxq1tqvaCgkFb8cCA/edit?usp=sharing"",""เลย!I296"")"),120)</f>
        <v>120</v>
      </c>
      <c r="J401" s="371">
        <f ca="1">IFERROR(__xludf.DUMMYFUNCTION("IMPORTRANGE(""https://docs.google.com/spreadsheets/d/1XL5vhW3sbDhbH9Cz0tuDiY8C3ctxq1tqvaCgkFb8cCA/edit?usp=sharing"",""เลย!J296"")"),0)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IFERROR(__xludf.DUMMYFUNCTION("IMPORTRANGE(""https://docs.google.com/spreadsheets/d/1XL5vhW3sbDhbH9Cz0tuDiY8C3ctxq1tqvaCgkFb8cCA/edit?usp=sharing"",""เลย!L296"")"),147110)</f>
        <v>147110</v>
      </c>
      <c r="M401" s="373"/>
      <c r="N401" s="373">
        <f ca="1">IFERROR(__xludf.DUMMYFUNCTION("IMPORTRANGE(""https://docs.google.com/spreadsheets/d/1XL5vhW3sbDhbH9Cz0tuDiY8C3ctxq1tqvaCgkFb8cCA/edit?usp=sharing"",""เลย!M296"")"),81810)</f>
        <v>81810</v>
      </c>
      <c r="O401" s="373">
        <f ca="1">+IF(L401&gt;0,N401*100/L401,0)</f>
        <v>55.611447216368703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IFERROR(__xludf.DUMMYFUNCTION("IMPORTRANGE(""https://docs.google.com/spreadsheets/d/1XL5vhW3sbDhbH9Cz0tuDiY8C3ctxq1tqvaCgkFb8cCA/edit?usp=sharing"",""เลย!I297"")"),40)</f>
        <v>40</v>
      </c>
      <c r="J402" s="371">
        <f ca="1">IFERROR(__xludf.DUMMYFUNCTION("IMPORTRANGE(""https://docs.google.com/spreadsheets/d/1XL5vhW3sbDhbH9Cz0tuDiY8C3ctxq1tqvaCgkFb8cCA/edit?usp=sharing"",""เลย!J297"")"),40)</f>
        <v>40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IFERROR(__xludf.DUMMYFUNCTION("IMPORTRANGE(""https://docs.google.com/spreadsheets/d/1XL5vhW3sbDhbH9Cz0tuDiY8C3ctxq1tqvaCgkFb8cCA/edit?usp=sharing"",""เลย!L298"")"),0)</f>
        <v>0</v>
      </c>
      <c r="M403" s="164"/>
      <c r="N403" s="169">
        <f ca="1">IFERROR(__xludf.DUMMYFUNCTION("IMPORTRANGE(""https://docs.google.com/spreadsheets/d/1XL5vhW3sbDhbH9Cz0tuDiY8C3ctxq1tqvaCgkFb8cCA/edit?usp=sharing"",""เลย!M298"")"),0)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IFERROR(__xludf.DUMMYFUNCTION("IMPORTRANGE(""https://docs.google.com/spreadsheets/d/1XL5vhW3sbDhbH9Cz0tuDiY8C3ctxq1tqvaCgkFb8cCA/edit?usp=sharing"",""เลย!L299"")"),147110)</f>
        <v>147110</v>
      </c>
      <c r="M404" s="165"/>
      <c r="N404" s="169">
        <f ca="1">IFERROR(__xludf.DUMMYFUNCTION("IMPORTRANGE(""https://docs.google.com/spreadsheets/d/1XL5vhW3sbDhbH9Cz0tuDiY8C3ctxq1tqvaCgkFb8cCA/edit?usp=sharing"",""เลย!M299"")"),81810)</f>
        <v>81810</v>
      </c>
      <c r="O404" s="169">
        <f t="shared" ca="1" si="112"/>
        <v>55.611447216368703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IFERROR(__xludf.DUMMYFUNCTION("IMPORTRANGE(""https://docs.google.com/spreadsheets/d/1XL5vhW3sbDhbH9Cz0tuDiY8C3ctxq1tqvaCgkFb8cCA/edit?usp=sharing"",""เลย!L300"")"),0)</f>
        <v>0</v>
      </c>
      <c r="M405" s="169"/>
      <c r="N405" s="169">
        <f ca="1">IFERROR(__xludf.DUMMYFUNCTION("IMPORTRANGE(""https://docs.google.com/spreadsheets/d/1XL5vhW3sbDhbH9Cz0tuDiY8C3ctxq1tqvaCgkFb8cCA/edit?usp=sharing"",""เลย!M300"")"),0)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IFERROR(__xludf.DUMMYFUNCTION("IMPORTRANGE(""https://docs.google.com/spreadsheets/d/1XL5vhW3sbDhbH9Cz0tuDiY8C3ctxq1tqvaCgkFb8cCA/edit?usp=sharing"",""เลย!L301"")"),147110)</f>
        <v>147110</v>
      </c>
      <c r="M406" s="169"/>
      <c r="N406" s="169">
        <f ca="1">IFERROR(__xludf.DUMMYFUNCTION("IMPORTRANGE(""https://docs.google.com/spreadsheets/d/1XL5vhW3sbDhbH9Cz0tuDiY8C3ctxq1tqvaCgkFb8cCA/edit?usp=sharing"",""เลย!M301"")"),81810)</f>
        <v>81810</v>
      </c>
      <c r="O406" s="169">
        <f t="shared" ca="1" si="112"/>
        <v>55.611447216368703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IFERROR(__xludf.DUMMYFUNCTION("IMPORTRANGE(""https://docs.google.com/spreadsheets/d/1XL5vhW3sbDhbH9Cz0tuDiY8C3ctxq1tqvaCgkFb8cCA/edit?usp=sharing"",""เลย!M302"")"),75750)</f>
        <v>75750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IFERROR(__xludf.DUMMYFUNCTION("IMPORTRANGE(""https://docs.google.com/spreadsheets/d/1XL5vhW3sbDhbH9Cz0tuDiY8C3ctxq1tqvaCgkFb8cCA/edit?usp=sharing"",""เลย!M303"")"),0)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IFERROR(__xludf.DUMMYFUNCTION("IMPORTRANGE(""https://docs.google.com/spreadsheets/d/1XL5vhW3sbDhbH9Cz0tuDiY8C3ctxq1tqvaCgkFb8cCA/edit?usp=sharing"",""เลย!M304"")"),0)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IFERROR(__xludf.DUMMYFUNCTION("IMPORTRANGE(""https://docs.google.com/spreadsheets/d/1XL5vhW3sbDhbH9Cz0tuDiY8C3ctxq1tqvaCgkFb8cCA/edit?usp=sharing"",""เลย!M305"")"),6060)</f>
        <v>6060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IFERROR(__xludf.DUMMYFUNCTION("IMPORTRANGE(""https://docs.google.com/spreadsheets/d/1XL5vhW3sbDhbH9Cz0tuDiY8C3ctxq1tqvaCgkFb8cCA/edit?usp=sharing"",""เลย!J307"")"),0)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IFERROR(__xludf.DUMMYFUNCTION("IMPORTRANGE(""https://docs.google.com/spreadsheets/d/1XL5vhW3sbDhbH9Cz0tuDiY8C3ctxq1tqvaCgkFb8cCA/edit?usp=sharing"",""เลย!J308"")"),1)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IFERROR(__xludf.DUMMYFUNCTION("IMPORTRANGE(""https://docs.google.com/spreadsheets/d/1XL5vhW3sbDhbH9Cz0tuDiY8C3ctxq1tqvaCgkFb8cCA/edit?usp=sharing"",""เลย!J309"")"),1)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IFERROR(__xludf.DUMMYFUNCTION("IMPORTRANGE(""https://docs.google.com/spreadsheets/d/1XL5vhW3sbDhbH9Cz0tuDiY8C3ctxq1tqvaCgkFb8cCA/edit?usp=sharing"",""เลย!J310"")"),0)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IFERROR(__xludf.DUMMYFUNCTION("IMPORTRANGE(""https://docs.google.com/spreadsheets/d/1XL5vhW3sbDhbH9Cz0tuDiY8C3ctxq1tqvaCgkFb8cCA/edit?usp=sharing"",""เลย!I311"")"),40)</f>
        <v>40</v>
      </c>
      <c r="J416" s="201">
        <f ca="1">IFERROR(__xludf.DUMMYFUNCTION("IMPORTRANGE(""https://docs.google.com/spreadsheets/d/1XL5vhW3sbDhbH9Cz0tuDiY8C3ctxq1tqvaCgkFb8cCA/edit?usp=sharing"",""เลย!J311"")"),40)</f>
        <v>40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IFERROR(__xludf.DUMMYFUNCTION("IMPORTRANGE(""https://docs.google.com/spreadsheets/d/1XL5vhW3sbDhbH9Cz0tuDiY8C3ctxq1tqvaCgkFb8cCA/edit?usp=sharing"",""เลย!I312"")"),15)</f>
        <v>15</v>
      </c>
      <c r="J417" s="392">
        <f ca="1">IFERROR(__xludf.DUMMYFUNCTION("IMPORTRANGE(""https://docs.google.com/spreadsheets/d/1XL5vhW3sbDhbH9Cz0tuDiY8C3ctxq1tqvaCgkFb8cCA/edit?usp=sharing"",""เลย!J312"")"),15)</f>
        <v>15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IFERROR(__xludf.DUMMYFUNCTION("IMPORTRANGE(""https://docs.google.com/spreadsheets/d/1XL5vhW3sbDhbH9Cz0tuDiY8C3ctxq1tqvaCgkFb8cCA/edit?usp=sharing"",""เลย!I313"")"),45)</f>
        <v>45</v>
      </c>
      <c r="J418" s="393">
        <f ca="1">IFERROR(__xludf.DUMMYFUNCTION("IMPORTRANGE(""https://docs.google.com/spreadsheets/d/1XL5vhW3sbDhbH9Cz0tuDiY8C3ctxq1tqvaCgkFb8cCA/edit?usp=sharing"",""เลย!J313"")"),0)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IFERROR(__xludf.DUMMYFUNCTION("IMPORTRANGE(""https://docs.google.com/spreadsheets/d/1XL5vhW3sbDhbH9Cz0tuDiY8C3ctxq1tqvaCgkFb8cCA/edit?usp=sharing"",""เลย!I314"")"),15)</f>
        <v>15</v>
      </c>
      <c r="J419" s="394">
        <f ca="1">IFERROR(__xludf.DUMMYFUNCTION("IMPORTRANGE(""https://docs.google.com/spreadsheets/d/1XL5vhW3sbDhbH9Cz0tuDiY8C3ctxq1tqvaCgkFb8cCA/edit?usp=sharing"",""เลย!J314"")"),15)</f>
        <v>15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IFERROR(__xludf.DUMMYFUNCTION("IMPORTRANGE(""https://docs.google.com/spreadsheets/d/1XL5vhW3sbDhbH9Cz0tuDiY8C3ctxq1tqvaCgkFb8cCA/edit?usp=sharing"",""เลย!I315"")"),15)</f>
        <v>15</v>
      </c>
      <c r="J420" s="394">
        <f ca="1">IFERROR(__xludf.DUMMYFUNCTION("IMPORTRANGE(""https://docs.google.com/spreadsheets/d/1XL5vhW3sbDhbH9Cz0tuDiY8C3ctxq1tqvaCgkFb8cCA/edit?usp=sharing"",""เลย!J315"")"),15)</f>
        <v>15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IFERROR(__xludf.DUMMYFUNCTION("IMPORTRANGE(""https://docs.google.com/spreadsheets/d/1XL5vhW3sbDhbH9Cz0tuDiY8C3ctxq1tqvaCgkFb8cCA/edit?usp=sharing"",""เลย!I316"")"),15)</f>
        <v>15</v>
      </c>
      <c r="J421" s="392">
        <f ca="1">IFERROR(__xludf.DUMMYFUNCTION("IMPORTRANGE(""https://docs.google.com/spreadsheets/d/1XL5vhW3sbDhbH9Cz0tuDiY8C3ctxq1tqvaCgkFb8cCA/edit?usp=sharing"",""เลย!J316"")"),15)</f>
        <v>15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IFERROR(__xludf.DUMMYFUNCTION("IMPORTRANGE(""https://docs.google.com/spreadsheets/d/1XL5vhW3sbDhbH9Cz0tuDiY8C3ctxq1tqvaCgkFb8cCA/edit?usp=sharing"",""เลย!I317"")"),45)</f>
        <v>45</v>
      </c>
      <c r="J422" s="393">
        <f ca="1">IFERROR(__xludf.DUMMYFUNCTION("IMPORTRANGE(""https://docs.google.com/spreadsheets/d/1XL5vhW3sbDhbH9Cz0tuDiY8C3ctxq1tqvaCgkFb8cCA/edit?usp=sharing"",""เลย!J317"")"),0)</f>
        <v>0</v>
      </c>
      <c r="K422" s="202">
        <f t="shared" ca="1" si="113"/>
        <v>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IFERROR(__xludf.DUMMYFUNCTION("IMPORTRANGE(""https://docs.google.com/spreadsheets/d/1XL5vhW3sbDhbH9Cz0tuDiY8C3ctxq1tqvaCgkFb8cCA/edit?usp=sharing"",""เลย!I318"")"),15)</f>
        <v>15</v>
      </c>
      <c r="J423" s="394">
        <f ca="1">IFERROR(__xludf.DUMMYFUNCTION("IMPORTRANGE(""https://docs.google.com/spreadsheets/d/1XL5vhW3sbDhbH9Cz0tuDiY8C3ctxq1tqvaCgkFb8cCA/edit?usp=sharing"",""เลย!J318"")"),15)</f>
        <v>15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IFERROR(__xludf.DUMMYFUNCTION("IMPORTRANGE(""https://docs.google.com/spreadsheets/d/1XL5vhW3sbDhbH9Cz0tuDiY8C3ctxq1tqvaCgkFb8cCA/edit?usp=sharing"",""เลย!I319"")"),15)</f>
        <v>15</v>
      </c>
      <c r="J424" s="394">
        <f ca="1">IFERROR(__xludf.DUMMYFUNCTION("IMPORTRANGE(""https://docs.google.com/spreadsheets/d/1XL5vhW3sbDhbH9Cz0tuDiY8C3ctxq1tqvaCgkFb8cCA/edit?usp=sharing"",""เลย!J319"")"),15)</f>
        <v>15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IFERROR(__xludf.DUMMYFUNCTION("IMPORTRANGE(""https://docs.google.com/spreadsheets/d/1XL5vhW3sbDhbH9Cz0tuDiY8C3ctxq1tqvaCgkFb8cCA/edit?usp=sharing"",""เลย!I320"")"),15)</f>
        <v>15</v>
      </c>
      <c r="J425" s="394">
        <f ca="1">IFERROR(__xludf.DUMMYFUNCTION("IMPORTRANGE(""https://docs.google.com/spreadsheets/d/1XL5vhW3sbDhbH9Cz0tuDiY8C3ctxq1tqvaCgkFb8cCA/edit?usp=sharing"",""เลย!J320"")"),15)</f>
        <v>15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IFERROR(__xludf.DUMMYFUNCTION("IMPORTRANGE(""https://docs.google.com/spreadsheets/d/1XL5vhW3sbDhbH9Cz0tuDiY8C3ctxq1tqvaCgkFb8cCA/edit?usp=sharing"",""เลย!I321"")"),10)</f>
        <v>10</v>
      </c>
      <c r="J426" s="392">
        <f ca="1">IFERROR(__xludf.DUMMYFUNCTION("IMPORTRANGE(""https://docs.google.com/spreadsheets/d/1XL5vhW3sbDhbH9Cz0tuDiY8C3ctxq1tqvaCgkFb8cCA/edit?usp=sharing"",""เลย!J321"")"),10)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IFERROR(__xludf.DUMMYFUNCTION("IMPORTRANGE(""https://docs.google.com/spreadsheets/d/1XL5vhW3sbDhbH9Cz0tuDiY8C3ctxq1tqvaCgkFb8cCA/edit?usp=sharing"",""เลย!I322"")"),30)</f>
        <v>30</v>
      </c>
      <c r="J427" s="393">
        <f ca="1">IFERROR(__xludf.DUMMYFUNCTION("IMPORTRANGE(""https://docs.google.com/spreadsheets/d/1XL5vhW3sbDhbH9Cz0tuDiY8C3ctxq1tqvaCgkFb8cCA/edit?usp=sharing"",""เลย!J322"")"),0)</f>
        <v>0</v>
      </c>
      <c r="K427" s="202">
        <f t="shared" ca="1" si="113"/>
        <v>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IFERROR(__xludf.DUMMYFUNCTION("IMPORTRANGE(""https://docs.google.com/spreadsheets/d/1XL5vhW3sbDhbH9Cz0tuDiY8C3ctxq1tqvaCgkFb8cCA/edit?usp=sharing"",""เลย!I323"")"),10)</f>
        <v>10</v>
      </c>
      <c r="J428" s="394">
        <f ca="1">IFERROR(__xludf.DUMMYFUNCTION("IMPORTRANGE(""https://docs.google.com/spreadsheets/d/1XL5vhW3sbDhbH9Cz0tuDiY8C3ctxq1tqvaCgkFb8cCA/edit?usp=sharing"",""เลย!J323"")"),10)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IFERROR(__xludf.DUMMYFUNCTION("IMPORTRANGE(""https://docs.google.com/spreadsheets/d/1XL5vhW3sbDhbH9Cz0tuDiY8C3ctxq1tqvaCgkFb8cCA/edit?usp=sharing"",""เลย!I324"")"),10)</f>
        <v>10</v>
      </c>
      <c r="J429" s="394">
        <f ca="1">IFERROR(__xludf.DUMMYFUNCTION("IMPORTRANGE(""https://docs.google.com/spreadsheets/d/1XL5vhW3sbDhbH9Cz0tuDiY8C3ctxq1tqvaCgkFb8cCA/edit?usp=sharing"",""เลย!J324"")"),10)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IFERROR(__xludf.DUMMYFUNCTION("IMPORTRANGE(""https://docs.google.com/spreadsheets/d/1XL5vhW3sbDhbH9Cz0tuDiY8C3ctxq1tqvaCgkFb8cCA/edit?usp=sharing"",""เลย!I325"")"),30)</f>
        <v>30</v>
      </c>
      <c r="J430" s="392">
        <f ca="1">IFERROR(__xludf.DUMMYFUNCTION("IMPORTRANGE(""https://docs.google.com/spreadsheets/d/1XL5vhW3sbDhbH9Cz0tuDiY8C3ctxq1tqvaCgkFb8cCA/edit?usp=sharing"",""เลย!J325"")"),0)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IFERROR(__xludf.DUMMYFUNCTION("IMPORTRANGE(""https://docs.google.com/spreadsheets/d/1XL5vhW3sbDhbH9Cz0tuDiY8C3ctxq1tqvaCgkFb8cCA/edit?usp=sharing"",""เลย!I326"")"),15)</f>
        <v>15</v>
      </c>
      <c r="J431" s="394">
        <f ca="1">IFERROR(__xludf.DUMMYFUNCTION("IMPORTRANGE(""https://docs.google.com/spreadsheets/d/1XL5vhW3sbDhbH9Cz0tuDiY8C3ctxq1tqvaCgkFb8cCA/edit?usp=sharing"",""เลย!J326"")"),0)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IFERROR(__xludf.DUMMYFUNCTION("IMPORTRANGE(""https://docs.google.com/spreadsheets/d/1XL5vhW3sbDhbH9Cz0tuDiY8C3ctxq1tqvaCgkFb8cCA/edit?usp=sharing"",""เลย!I327"")"),15)</f>
        <v>15</v>
      </c>
      <c r="J432" s="394">
        <f ca="1">IFERROR(__xludf.DUMMYFUNCTION("IMPORTRANGE(""https://docs.google.com/spreadsheets/d/1XL5vhW3sbDhbH9Cz0tuDiY8C3ctxq1tqvaCgkFb8cCA/edit?usp=sharing"",""เลย!J327"")"),0)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IFERROR(__xludf.DUMMYFUNCTION("IMPORTRANGE(""https://docs.google.com/spreadsheets/d/1XL5vhW3sbDhbH9Cz0tuDiY8C3ctxq1tqvaCgkFb8cCA/edit?usp=sharing"",""เลย!J328"")"),0)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IFERROR(__xludf.DUMMYFUNCTION("IMPORTRANGE(""https://docs.google.com/spreadsheets/d/1XL5vhW3sbDhbH9Cz0tuDiY8C3ctxq1tqvaCgkFb8cCA/edit?usp=sharing"",""เลย!J329"")"),0)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IFERROR(__xludf.DUMMYFUNCTION("IMPORTRANGE(""https://docs.google.com/spreadsheets/d/1XL5vhW3sbDhbH9Cz0tuDiY8C3ctxq1tqvaCgkFb8cCA/edit?usp=sharing"",""เลย!I330"")"),10)</f>
        <v>10</v>
      </c>
      <c r="J435" s="410">
        <f ca="1">IFERROR(__xludf.DUMMYFUNCTION("IMPORTRANGE(""https://docs.google.com/spreadsheets/d/1XL5vhW3sbDhbH9Cz0tuDiY8C3ctxq1tqvaCgkFb8cCA/edit?usp=sharing"",""เลย!J330"")"),10)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IFERROR(__xludf.DUMMYFUNCTION("IMPORTRANGE(""https://docs.google.com/spreadsheets/d/1XL5vhW3sbDhbH9Cz0tuDiY8C3ctxq1tqvaCgkFb8cCA/edit?usp=sharing"",""เลย!L330"")"),77000)</f>
        <v>77000</v>
      </c>
      <c r="M435" s="412"/>
      <c r="N435" s="412">
        <f ca="1">IFERROR(__xludf.DUMMYFUNCTION("IMPORTRANGE(""https://docs.google.com/spreadsheets/d/1XL5vhW3sbDhbH9Cz0tuDiY8C3ctxq1tqvaCgkFb8cCA/edit?usp=sharing"",""เลย!M330"")"),21798.71)</f>
        <v>21798.71</v>
      </c>
      <c r="O435" s="412">
        <f t="shared" ref="O435:O439" ca="1" si="114">+IF(L435&gt;0,N435*100/L435,0)</f>
        <v>28.310012987012986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IFERROR(__xludf.DUMMYFUNCTION("IMPORTRANGE(""https://docs.google.com/spreadsheets/d/1XL5vhW3sbDhbH9Cz0tuDiY8C3ctxq1tqvaCgkFb8cCA/edit?usp=sharing"",""เลย!L331"")"),0)</f>
        <v>0</v>
      </c>
      <c r="M436" s="164"/>
      <c r="N436" s="169">
        <f ca="1">IFERROR(__xludf.DUMMYFUNCTION("IMPORTRANGE(""https://docs.google.com/spreadsheets/d/1XL5vhW3sbDhbH9Cz0tuDiY8C3ctxq1tqvaCgkFb8cCA/edit?usp=sharing"",""เลย!M331"")"),0)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IFERROR(__xludf.DUMMYFUNCTION("IMPORTRANGE(""https://docs.google.com/spreadsheets/d/1XL5vhW3sbDhbH9Cz0tuDiY8C3ctxq1tqvaCgkFb8cCA/edit?usp=sharing"",""เลย!L332"")"),77000)</f>
        <v>77000</v>
      </c>
      <c r="M437" s="165"/>
      <c r="N437" s="169">
        <f ca="1">IFERROR(__xludf.DUMMYFUNCTION("IMPORTRANGE(""https://docs.google.com/spreadsheets/d/1XL5vhW3sbDhbH9Cz0tuDiY8C3ctxq1tqvaCgkFb8cCA/edit?usp=sharing"",""เลย!M332"")"),21798.71)</f>
        <v>21798.71</v>
      </c>
      <c r="O437" s="169">
        <f t="shared" ca="1" si="114"/>
        <v>28.310012987012986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IFERROR(__xludf.DUMMYFUNCTION("IMPORTRANGE(""https://docs.google.com/spreadsheets/d/1XL5vhW3sbDhbH9Cz0tuDiY8C3ctxq1tqvaCgkFb8cCA/edit?usp=sharing"",""เลย!L333"")"),0)</f>
        <v>0</v>
      </c>
      <c r="M438" s="169"/>
      <c r="N438" s="169">
        <f ca="1">IFERROR(__xludf.DUMMYFUNCTION("IMPORTRANGE(""https://docs.google.com/spreadsheets/d/1XL5vhW3sbDhbH9Cz0tuDiY8C3ctxq1tqvaCgkFb8cCA/edit?usp=sharing"",""เลย!M333"")"),0)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IFERROR(__xludf.DUMMYFUNCTION("IMPORTRANGE(""https://docs.google.com/spreadsheets/d/1XL5vhW3sbDhbH9Cz0tuDiY8C3ctxq1tqvaCgkFb8cCA/edit?usp=sharing"",""เลย!L334"")"),77000)</f>
        <v>77000</v>
      </c>
      <c r="M439" s="169"/>
      <c r="N439" s="169">
        <f ca="1">IFERROR(__xludf.DUMMYFUNCTION("IMPORTRANGE(""https://docs.google.com/spreadsheets/d/1XL5vhW3sbDhbH9Cz0tuDiY8C3ctxq1tqvaCgkFb8cCA/edit?usp=sharing"",""เลย!M334"")"),21798.71)</f>
        <v>21798.71</v>
      </c>
      <c r="O439" s="169">
        <f t="shared" ca="1" si="114"/>
        <v>28.310012987012986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IFERROR(__xludf.DUMMYFUNCTION("IMPORTRANGE(""https://docs.google.com/spreadsheets/d/1XL5vhW3sbDhbH9Cz0tuDiY8C3ctxq1tqvaCgkFb8cCA/edit?usp=sharing"",""เลย!M335"")"),20030)</f>
        <v>20030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IFERROR(__xludf.DUMMYFUNCTION("IMPORTRANGE(""https://docs.google.com/spreadsheets/d/1XL5vhW3sbDhbH9Cz0tuDiY8C3ctxq1tqvaCgkFb8cCA/edit?usp=sharing"",""เลย!M336"")"),0)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IFERROR(__xludf.DUMMYFUNCTION("IMPORTRANGE(""https://docs.google.com/spreadsheets/d/1XL5vhW3sbDhbH9Cz0tuDiY8C3ctxq1tqvaCgkFb8cCA/edit?usp=sharing"",""เลย!M337"")"),0)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IFERROR(__xludf.DUMMYFUNCTION("IMPORTRANGE(""https://docs.google.com/spreadsheets/d/1XL5vhW3sbDhbH9Cz0tuDiY8C3ctxq1tqvaCgkFb8cCA/edit?usp=sharing"",""เลย!M338"")"),1768.71)</f>
        <v>1768.71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IFERROR(__xludf.DUMMYFUNCTION("IMPORTRANGE(""https://docs.google.com/spreadsheets/d/1XL5vhW3sbDhbH9Cz0tuDiY8C3ctxq1tqvaCgkFb8cCA/edit?usp=sharing"",""เลย!J340"")"),0)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IFERROR(__xludf.DUMMYFUNCTION("IMPORTRANGE(""https://docs.google.com/spreadsheets/d/1XL5vhW3sbDhbH9Cz0tuDiY8C3ctxq1tqvaCgkFb8cCA/edit?usp=sharing"",""เลย!J341"")"),1)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IFERROR(__xludf.DUMMYFUNCTION("IMPORTRANGE(""https://docs.google.com/spreadsheets/d/1XL5vhW3sbDhbH9Cz0tuDiY8C3ctxq1tqvaCgkFb8cCA/edit?usp=sharing"",""เลย!J342"")"),1)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IFERROR(__xludf.DUMMYFUNCTION("IMPORTRANGE(""https://docs.google.com/spreadsheets/d/1XL5vhW3sbDhbH9Cz0tuDiY8C3ctxq1tqvaCgkFb8cCA/edit?usp=sharing"",""เลย!J343"")"),0)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IFERROR(__xludf.DUMMYFUNCTION("IMPORTRANGE(""https://docs.google.com/spreadsheets/d/1XL5vhW3sbDhbH9Cz0tuDiY8C3ctxq1tqvaCgkFb8cCA/edit?usp=sharing"",""เลย!I344"")"),10)</f>
        <v>10</v>
      </c>
      <c r="J449" s="201">
        <f ca="1">IFERROR(__xludf.DUMMYFUNCTION("IMPORTRANGE(""https://docs.google.com/spreadsheets/d/1XL5vhW3sbDhbH9Cz0tuDiY8C3ctxq1tqvaCgkFb8cCA/edit?usp=sharing"",""เลย!J344"")"),10)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IFERROR(__xludf.DUMMYFUNCTION("IMPORTRANGE(""https://docs.google.com/spreadsheets/d/1XL5vhW3sbDhbH9Cz0tuDiY8C3ctxq1tqvaCgkFb8cCA/edit?usp=sharing"",""เลย!I345"")"),10)</f>
        <v>10</v>
      </c>
      <c r="J450" s="189">
        <f ca="1">IFERROR(__xludf.DUMMYFUNCTION("IMPORTRANGE(""https://docs.google.com/spreadsheets/d/1XL5vhW3sbDhbH9Cz0tuDiY8C3ctxq1tqvaCgkFb8cCA/edit?usp=sharing"",""เลย!J345"")"),10)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IFERROR(__xludf.DUMMYFUNCTION("IMPORTRANGE(""https://docs.google.com/spreadsheets/d/1XL5vhW3sbDhbH9Cz0tuDiY8C3ctxq1tqvaCgkFb8cCA/edit?usp=sharing"",""เลย!I346"")"),0)</f>
        <v>0</v>
      </c>
      <c r="J451" s="188">
        <f ca="1">IFERROR(__xludf.DUMMYFUNCTION("IMPORTRANGE(""https://docs.google.com/spreadsheets/d/1XL5vhW3sbDhbH9Cz0tuDiY8C3ctxq1tqvaCgkFb8cCA/edit?usp=sharing"",""เลย!J346"")"),0)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IFERROR(__xludf.DUMMYFUNCTION("IMPORTRANGE(""https://docs.google.com/spreadsheets/d/1XL5vhW3sbDhbH9Cz0tuDiY8C3ctxq1tqvaCgkFb8cCA/edit?usp=sharing"",""เลย!I347"")"),0)</f>
        <v>0</v>
      </c>
      <c r="J452" s="188">
        <f ca="1">IFERROR(__xludf.DUMMYFUNCTION("IMPORTRANGE(""https://docs.google.com/spreadsheets/d/1XL5vhW3sbDhbH9Cz0tuDiY8C3ctxq1tqvaCgkFb8cCA/edit?usp=sharing"",""เลย!J347"")"),0)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IFERROR(__xludf.DUMMYFUNCTION("IMPORTRANGE(""https://docs.google.com/spreadsheets/d/1XL5vhW3sbDhbH9Cz0tuDiY8C3ctxq1tqvaCgkFb8cCA/edit?usp=sharing"",""เลย!J348"")"),0)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IFERROR(__xludf.DUMMYFUNCTION("IMPORTRANGE(""https://docs.google.com/spreadsheets/d/1XL5vhW3sbDhbH9Cz0tuDiY8C3ctxq1tqvaCgkFb8cCA/edit?usp=sharing"",""เลย!J349"")"),0)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IFERROR(__xludf.DUMMYFUNCTION("IMPORTRANGE(""https://docs.google.com/spreadsheets/d/1XL5vhW3sbDhbH9Cz0tuDiY8C3ctxq1tqvaCgkFb8cCA/edit?usp=sharing"",""เลย!I350"")"),57180)</f>
        <v>57180</v>
      </c>
      <c r="J455" s="371">
        <f ca="1">IFERROR(__xludf.DUMMYFUNCTION("IMPORTRANGE(""https://docs.google.com/spreadsheets/d/1XL5vhW3sbDhbH9Cz0tuDiY8C3ctxq1tqvaCgkFb8cCA/edit?usp=sharing"",""เลย!J350"")"),57216.5774999998)</f>
        <v>57216.577499999898</v>
      </c>
      <c r="K455" s="372">
        <f ca="1">IF(I455&gt;0,J455*100/I455,0)</f>
        <v>100.06396904512049</v>
      </c>
      <c r="L455" s="373">
        <f ca="1">IFERROR(__xludf.DUMMYFUNCTION("IMPORTRANGE(""https://docs.google.com/spreadsheets/d/1XL5vhW3sbDhbH9Cz0tuDiY8C3ctxq1tqvaCgkFb8cCA/edit?usp=sharing"",""เลย!L350"")"),489836)</f>
        <v>489836</v>
      </c>
      <c r="M455" s="373"/>
      <c r="N455" s="373">
        <f ca="1">IFERROR(__xludf.DUMMYFUNCTION("IMPORTRANGE(""https://docs.google.com/spreadsheets/d/1XL5vhW3sbDhbH9Cz0tuDiY8C3ctxq1tqvaCgkFb8cCA/edit?usp=sharing"",""เลย!M350"")"),133780)</f>
        <v>133780</v>
      </c>
      <c r="O455" s="373">
        <f t="shared" ref="O455:O459" ca="1" si="116">+IF(L455&gt;0,N455*100/L455,0)</f>
        <v>27.311181701630751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IFERROR(__xludf.DUMMYFUNCTION("IMPORTRANGE(""https://docs.google.com/spreadsheets/d/1XL5vhW3sbDhbH9Cz0tuDiY8C3ctxq1tqvaCgkFb8cCA/edit?usp=sharing"",""เลย!L351"")"),0)</f>
        <v>0</v>
      </c>
      <c r="M456" s="164"/>
      <c r="N456" s="169">
        <f ca="1">IFERROR(__xludf.DUMMYFUNCTION("IMPORTRANGE(""https://docs.google.com/spreadsheets/d/1XL5vhW3sbDhbH9Cz0tuDiY8C3ctxq1tqvaCgkFb8cCA/edit?usp=sharing"",""เลย!M351"")"),0)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IFERROR(__xludf.DUMMYFUNCTION("IMPORTRANGE(""https://docs.google.com/spreadsheets/d/1XL5vhW3sbDhbH9Cz0tuDiY8C3ctxq1tqvaCgkFb8cCA/edit?usp=sharing"",""เลย!L352"")"),489836)</f>
        <v>489836</v>
      </c>
      <c r="M457" s="165"/>
      <c r="N457" s="169">
        <f ca="1">IFERROR(__xludf.DUMMYFUNCTION("IMPORTRANGE(""https://docs.google.com/spreadsheets/d/1XL5vhW3sbDhbH9Cz0tuDiY8C3ctxq1tqvaCgkFb8cCA/edit?usp=sharing"",""เลย!M352"")"),133780)</f>
        <v>133780</v>
      </c>
      <c r="O457" s="169">
        <f t="shared" ca="1" si="116"/>
        <v>27.311181701630751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IFERROR(__xludf.DUMMYFUNCTION("IMPORTRANGE(""https://docs.google.com/spreadsheets/d/1XL5vhW3sbDhbH9Cz0tuDiY8C3ctxq1tqvaCgkFb8cCA/edit?usp=sharing"",""เลย!L353"")"),0)</f>
        <v>0</v>
      </c>
      <c r="M458" s="169"/>
      <c r="N458" s="169">
        <f ca="1">IFERROR(__xludf.DUMMYFUNCTION("IMPORTRANGE(""https://docs.google.com/spreadsheets/d/1XL5vhW3sbDhbH9Cz0tuDiY8C3ctxq1tqvaCgkFb8cCA/edit?usp=sharing"",""เลย!M353"")"),0)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IFERROR(__xludf.DUMMYFUNCTION("IMPORTRANGE(""https://docs.google.com/spreadsheets/d/1XL5vhW3sbDhbH9Cz0tuDiY8C3ctxq1tqvaCgkFb8cCA/edit?usp=sharing"",""เลย!L354"")"),489836)</f>
        <v>489836</v>
      </c>
      <c r="M459" s="169"/>
      <c r="N459" s="169">
        <f ca="1">IFERROR(__xludf.DUMMYFUNCTION("IMPORTRANGE(""https://docs.google.com/spreadsheets/d/1XL5vhW3sbDhbH9Cz0tuDiY8C3ctxq1tqvaCgkFb8cCA/edit?usp=sharing"",""เลย!M354"")"),133780)</f>
        <v>133780</v>
      </c>
      <c r="O459" s="169">
        <f t="shared" ca="1" si="116"/>
        <v>27.311181701630751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IFERROR(__xludf.DUMMYFUNCTION("IMPORTRANGE(""https://docs.google.com/spreadsheets/d/1XL5vhW3sbDhbH9Cz0tuDiY8C3ctxq1tqvaCgkFb8cCA/edit?usp=sharing"",""เลย!M355"")"),0)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IFERROR(__xludf.DUMMYFUNCTION("IMPORTRANGE(""https://docs.google.com/spreadsheets/d/1XL5vhW3sbDhbH9Cz0tuDiY8C3ctxq1tqvaCgkFb8cCA/edit?usp=sharing"",""เลย!M356"")"),0)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IFERROR(__xludf.DUMMYFUNCTION("IMPORTRANGE(""https://docs.google.com/spreadsheets/d/1XL5vhW3sbDhbH9Cz0tuDiY8C3ctxq1tqvaCgkFb8cCA/edit?usp=sharing"",""เลย!M357"")"),53175)</f>
        <v>53175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IFERROR(__xludf.DUMMYFUNCTION("IMPORTRANGE(""https://docs.google.com/spreadsheets/d/1XL5vhW3sbDhbH9Cz0tuDiY8C3ctxq1tqvaCgkFb8cCA/edit?usp=sharing"",""เลย!M358"")"),80605)</f>
        <v>80605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IFERROR(__xludf.DUMMYFUNCTION("IMPORTRANGE(""https://docs.google.com/spreadsheets/d/1XL5vhW3sbDhbH9Cz0tuDiY8C3ctxq1tqvaCgkFb8cCA/edit?usp=sharing"",""เลย!I359"")"),57180)</f>
        <v>57180</v>
      </c>
      <c r="J464" s="267">
        <f ca="1">IFERROR(__xludf.DUMMYFUNCTION("IMPORTRANGE(""https://docs.google.com/spreadsheets/d/1XL5vhW3sbDhbH9Cz0tuDiY8C3ctxq1tqvaCgkFb8cCA/edit?usp=sharing"",""เลย!J359"")"),57216.5774999998)</f>
        <v>57216.577499999898</v>
      </c>
      <c r="K464" s="268">
        <f t="shared" ref="K464:K515" ca="1" si="117">IF(I464&gt;0,J464*100/I464,0)</f>
        <v>100.06396904512049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IFERROR(__xludf.DUMMYFUNCTION("IMPORTRANGE(""https://docs.google.com/spreadsheets/d/1XL5vhW3sbDhbH9Cz0tuDiY8C3ctxq1tqvaCgkFb8cCA/edit?usp=sharing"",""เลย!I360"")"),57180)</f>
        <v>57180</v>
      </c>
      <c r="J465" s="420">
        <f ca="1">IFERROR(__xludf.DUMMYFUNCTION("IMPORTRANGE(""https://docs.google.com/spreadsheets/d/1XL5vhW3sbDhbH9Cz0tuDiY8C3ctxq1tqvaCgkFb8cCA/edit?usp=sharing"",""เลย!J360"")"),57180.5779999999)</f>
        <v>57180.577999999899</v>
      </c>
      <c r="K465" s="202">
        <f t="shared" ca="1" si="117"/>
        <v>100.0010108429519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IFERROR(__xludf.DUMMYFUNCTION("IMPORTRANGE(""https://docs.google.com/spreadsheets/d/1XL5vhW3sbDhbH9Cz0tuDiY8C3ctxq1tqvaCgkFb8cCA/edit?usp=sharing"",""เลย!I361"")"),5802)</f>
        <v>5802</v>
      </c>
      <c r="J466" s="420">
        <f ca="1">IFERROR(__xludf.DUMMYFUNCTION("IMPORTRANGE(""https://docs.google.com/spreadsheets/d/1XL5vhW3sbDhbH9Cz0tuDiY8C3ctxq1tqvaCgkFb8cCA/edit?usp=sharing"",""เลย!J361"")"),5802)</f>
        <v>5802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IFERROR(__xludf.DUMMYFUNCTION("IMPORTRANGE(""https://docs.google.com/spreadsheets/d/1XL5vhW3sbDhbH9Cz0tuDiY8C3ctxq1tqvaCgkFb8cCA/edit?usp=sharing"",""เลย!I362"")"),0)</f>
        <v>0</v>
      </c>
      <c r="J467" s="189">
        <f ca="1">IFERROR(__xludf.DUMMYFUNCTION("IMPORTRANGE(""https://docs.google.com/spreadsheets/d/1XL5vhW3sbDhbH9Cz0tuDiY8C3ctxq1tqvaCgkFb8cCA/edit?usp=sharing"",""เลย!J362"")"),53746.2155)</f>
        <v>53746.215499999998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IFERROR(__xludf.DUMMYFUNCTION("IMPORTRANGE(""https://docs.google.com/spreadsheets/d/1XL5vhW3sbDhbH9Cz0tuDiY8C3ctxq1tqvaCgkFb8cCA/edit?usp=sharing"",""เลย!I363"")"),0)</f>
        <v>0</v>
      </c>
      <c r="J468" s="189">
        <f ca="1">IFERROR(__xludf.DUMMYFUNCTION("IMPORTRANGE(""https://docs.google.com/spreadsheets/d/1XL5vhW3sbDhbH9Cz0tuDiY8C3ctxq1tqvaCgkFb8cCA/edit?usp=sharing"",""เลย!J363"")"),5569)</f>
        <v>5569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IFERROR(__xludf.DUMMYFUNCTION("IMPORTRANGE(""https://docs.google.com/spreadsheets/d/1XL5vhW3sbDhbH9Cz0tuDiY8C3ctxq1tqvaCgkFb8cCA/edit?usp=sharing"",""เลย!I364"")"),0)</f>
        <v>0</v>
      </c>
      <c r="J469" s="189">
        <f ca="1">IFERROR(__xludf.DUMMYFUNCTION("IMPORTRANGE(""https://docs.google.com/spreadsheets/d/1XL5vhW3sbDhbH9Cz0tuDiY8C3ctxq1tqvaCgkFb8cCA/edit?usp=sharing"",""เลย!J364"")"),2197.0225)</f>
        <v>2197.0225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IFERROR(__xludf.DUMMYFUNCTION("IMPORTRANGE(""https://docs.google.com/spreadsheets/d/1XL5vhW3sbDhbH9Cz0tuDiY8C3ctxq1tqvaCgkFb8cCA/edit?usp=sharing"",""เลย!I365"")"),0)</f>
        <v>0</v>
      </c>
      <c r="J470" s="189">
        <f ca="1">IFERROR(__xludf.DUMMYFUNCTION("IMPORTRANGE(""https://docs.google.com/spreadsheets/d/1XL5vhW3sbDhbH9Cz0tuDiY8C3ctxq1tqvaCgkFb8cCA/edit?usp=sharing"",""เลย!J365"")"),99)</f>
        <v>99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IFERROR(__xludf.DUMMYFUNCTION("IMPORTRANGE(""https://docs.google.com/spreadsheets/d/1XL5vhW3sbDhbH9Cz0tuDiY8C3ctxq1tqvaCgkFb8cCA/edit?usp=sharing"",""เลย!I366"")"),0)</f>
        <v>0</v>
      </c>
      <c r="J471" s="189">
        <f ca="1">IFERROR(__xludf.DUMMYFUNCTION("IMPORTRANGE(""https://docs.google.com/spreadsheets/d/1XL5vhW3sbDhbH9Cz0tuDiY8C3ctxq1tqvaCgkFb8cCA/edit?usp=sharing"",""เลย!J366"")"),1237.34)</f>
        <v>1237.3399999999999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IFERROR(__xludf.DUMMYFUNCTION("IMPORTRANGE(""https://docs.google.com/spreadsheets/d/1XL5vhW3sbDhbH9Cz0tuDiY8C3ctxq1tqvaCgkFb8cCA/edit?usp=sharing"",""เลย!I367"")"),0)</f>
        <v>0</v>
      </c>
      <c r="J472" s="189">
        <f ca="1">IFERROR(__xludf.DUMMYFUNCTION("IMPORTRANGE(""https://docs.google.com/spreadsheets/d/1XL5vhW3sbDhbH9Cz0tuDiY8C3ctxq1tqvaCgkFb8cCA/edit?usp=sharing"",""เลย!J367"")"),134)</f>
        <v>134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IFERROR(__xludf.DUMMYFUNCTION("IMPORTRANGE(""https://docs.google.com/spreadsheets/d/1XL5vhW3sbDhbH9Cz0tuDiY8C3ctxq1tqvaCgkFb8cCA/edit?usp=sharing"",""เลย!I368"")"),57180)</f>
        <v>57180</v>
      </c>
      <c r="J473" s="420">
        <f ca="1">IFERROR(__xludf.DUMMYFUNCTION("IMPORTRANGE(""https://docs.google.com/spreadsheets/d/1XL5vhW3sbDhbH9Cz0tuDiY8C3ctxq1tqvaCgkFb8cCA/edit?usp=sharing"",""เลย!J368"")"),57180.5775)</f>
        <v>57180.577499999999</v>
      </c>
      <c r="K473" s="202">
        <f t="shared" ca="1" si="117"/>
        <v>100.00100996852046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IFERROR(__xludf.DUMMYFUNCTION("IMPORTRANGE(""https://docs.google.com/spreadsheets/d/1XL5vhW3sbDhbH9Cz0tuDiY8C3ctxq1tqvaCgkFb8cCA/edit?usp=sharing"",""เลย!I369"")"),5802)</f>
        <v>5802</v>
      </c>
      <c r="J474" s="420">
        <f ca="1">IFERROR(__xludf.DUMMYFUNCTION("IMPORTRANGE(""https://docs.google.com/spreadsheets/d/1XL5vhW3sbDhbH9Cz0tuDiY8C3ctxq1tqvaCgkFb8cCA/edit?usp=sharing"",""เลย!J369"")"),5802)</f>
        <v>5802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IFERROR(__xludf.DUMMYFUNCTION("IMPORTRANGE(""https://docs.google.com/spreadsheets/d/1XL5vhW3sbDhbH9Cz0tuDiY8C3ctxq1tqvaCgkFb8cCA/edit?usp=sharing"",""เลย!I370"")"),0)</f>
        <v>0</v>
      </c>
      <c r="J475" s="189">
        <f ca="1">IFERROR(__xludf.DUMMYFUNCTION("IMPORTRANGE(""https://docs.google.com/spreadsheets/d/1XL5vhW3sbDhbH9Cz0tuDiY8C3ctxq1tqvaCgkFb8cCA/edit?usp=sharing"",""เลย!J370"")"),53698.67)</f>
        <v>53698.67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IFERROR(__xludf.DUMMYFUNCTION("IMPORTRANGE(""https://docs.google.com/spreadsheets/d/1XL5vhW3sbDhbH9Cz0tuDiY8C3ctxq1tqvaCgkFb8cCA/edit?usp=sharing"",""เลย!I371"")"),0)</f>
        <v>0</v>
      </c>
      <c r="J476" s="189">
        <f ca="1">IFERROR(__xludf.DUMMYFUNCTION("IMPORTRANGE(""https://docs.google.com/spreadsheets/d/1XL5vhW3sbDhbH9Cz0tuDiY8C3ctxq1tqvaCgkFb8cCA/edit?usp=sharing"",""เลย!J371"")"),5562)</f>
        <v>5562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IFERROR(__xludf.DUMMYFUNCTION("IMPORTRANGE(""https://docs.google.com/spreadsheets/d/1XL5vhW3sbDhbH9Cz0tuDiY8C3ctxq1tqvaCgkFb8cCA/edit?usp=sharing"",""เลย!I372"")"),0)</f>
        <v>0</v>
      </c>
      <c r="J477" s="189">
        <f ca="1">IFERROR(__xludf.DUMMYFUNCTION("IMPORTRANGE(""https://docs.google.com/spreadsheets/d/1XL5vhW3sbDhbH9Cz0tuDiY8C3ctxq1tqvaCgkFb8cCA/edit?usp=sharing"",""เลย!J372"")"),2206.8025)</f>
        <v>2206.8024999999998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IFERROR(__xludf.DUMMYFUNCTION("IMPORTRANGE(""https://docs.google.com/spreadsheets/d/1XL5vhW3sbDhbH9Cz0tuDiY8C3ctxq1tqvaCgkFb8cCA/edit?usp=sharing"",""เลย!I373"")"),0)</f>
        <v>0</v>
      </c>
      <c r="J478" s="189">
        <f ca="1">IFERROR(__xludf.DUMMYFUNCTION("IMPORTRANGE(""https://docs.google.com/spreadsheets/d/1XL5vhW3sbDhbH9Cz0tuDiY8C3ctxq1tqvaCgkFb8cCA/edit?usp=sharing"",""เลย!J373"")"),102)</f>
        <v>102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IFERROR(__xludf.DUMMYFUNCTION("IMPORTRANGE(""https://docs.google.com/spreadsheets/d/1XL5vhW3sbDhbH9Cz0tuDiY8C3ctxq1tqvaCgkFb8cCA/edit?usp=sharing"",""เลย!I374"")"),0)</f>
        <v>0</v>
      </c>
      <c r="J479" s="189">
        <f ca="1">IFERROR(__xludf.DUMMYFUNCTION("IMPORTRANGE(""https://docs.google.com/spreadsheets/d/1XL5vhW3sbDhbH9Cz0tuDiY8C3ctxq1tqvaCgkFb8cCA/edit?usp=sharing"",""เลย!J374"")"),1275.105)</f>
        <v>1275.105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IFERROR(__xludf.DUMMYFUNCTION("IMPORTRANGE(""https://docs.google.com/spreadsheets/d/1XL5vhW3sbDhbH9Cz0tuDiY8C3ctxq1tqvaCgkFb8cCA/edit?usp=sharing"",""เลย!I375"")"),0)</f>
        <v>0</v>
      </c>
      <c r="J480" s="189">
        <f ca="1">IFERROR(__xludf.DUMMYFUNCTION("IMPORTRANGE(""https://docs.google.com/spreadsheets/d/1XL5vhW3sbDhbH9Cz0tuDiY8C3ctxq1tqvaCgkFb8cCA/edit?usp=sharing"",""เลย!J375"")"),138)</f>
        <v>138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IFERROR(__xludf.DUMMYFUNCTION("IMPORTRANGE(""https://docs.google.com/spreadsheets/d/1XL5vhW3sbDhbH9Cz0tuDiY8C3ctxq1tqvaCgkFb8cCA/edit?usp=sharing"",""เลย!I376"")"),57180)</f>
        <v>57180</v>
      </c>
      <c r="J481" s="420">
        <f ca="1">IFERROR(__xludf.DUMMYFUNCTION("IMPORTRANGE(""https://docs.google.com/spreadsheets/d/1XL5vhW3sbDhbH9Cz0tuDiY8C3ctxq1tqvaCgkFb8cCA/edit?usp=sharing"",""เลย!J376"")"),57216.5774999998)</f>
        <v>57216.577499999898</v>
      </c>
      <c r="K481" s="202">
        <f t="shared" ca="1" si="117"/>
        <v>100.06396904512049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IFERROR(__xludf.DUMMYFUNCTION("IMPORTRANGE(""https://docs.google.com/spreadsheets/d/1XL5vhW3sbDhbH9Cz0tuDiY8C3ctxq1tqvaCgkFb8cCA/edit?usp=sharing"",""เลย!I377"")"),5802)</f>
        <v>5802</v>
      </c>
      <c r="J482" s="420">
        <f ca="1">IFERROR(__xludf.DUMMYFUNCTION("IMPORTRANGE(""https://docs.google.com/spreadsheets/d/1XL5vhW3sbDhbH9Cz0tuDiY8C3ctxq1tqvaCgkFb8cCA/edit?usp=sharing"",""เลย!J377"")"),5802)</f>
        <v>5802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IFERROR(__xludf.DUMMYFUNCTION("IMPORTRANGE(""https://docs.google.com/spreadsheets/d/1XL5vhW3sbDhbH9Cz0tuDiY8C3ctxq1tqvaCgkFb8cCA/edit?usp=sharing"",""เลย!I378"")"),0)</f>
        <v>0</v>
      </c>
      <c r="J483" s="189">
        <f ca="1">IFERROR(__xludf.DUMMYFUNCTION("IMPORTRANGE(""https://docs.google.com/spreadsheets/d/1XL5vhW3sbDhbH9Cz0tuDiY8C3ctxq1tqvaCgkFb8cCA/edit?usp=sharing"",""เลย!J378"")"),53782.215)</f>
        <v>53782.214999999997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IFERROR(__xludf.DUMMYFUNCTION("IMPORTRANGE(""https://docs.google.com/spreadsheets/d/1XL5vhW3sbDhbH9Cz0tuDiY8C3ctxq1tqvaCgkFb8cCA/edit?usp=sharing"",""เลย!I379"")"),0)</f>
        <v>0</v>
      </c>
      <c r="J484" s="189">
        <f ca="1">IFERROR(__xludf.DUMMYFUNCTION("IMPORTRANGE(""https://docs.google.com/spreadsheets/d/1XL5vhW3sbDhbH9Cz0tuDiY8C3ctxq1tqvaCgkFb8cCA/edit?usp=sharing"",""เลย!J379"")"),5569)</f>
        <v>5569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IFERROR(__xludf.DUMMYFUNCTION("IMPORTRANGE(""https://docs.google.com/spreadsheets/d/1XL5vhW3sbDhbH9Cz0tuDiY8C3ctxq1tqvaCgkFb8cCA/edit?usp=sharing"",""เลย!I380"")"),0)</f>
        <v>0</v>
      </c>
      <c r="J485" s="189">
        <f ca="1">IFERROR(__xludf.DUMMYFUNCTION("IMPORTRANGE(""https://docs.google.com/spreadsheets/d/1XL5vhW3sbDhbH9Cz0tuDiY8C3ctxq1tqvaCgkFb8cCA/edit?usp=sharing"",""เลย!J380"")"),2197.0225)</f>
        <v>2197.0225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IFERROR(__xludf.DUMMYFUNCTION("IMPORTRANGE(""https://docs.google.com/spreadsheets/d/1XL5vhW3sbDhbH9Cz0tuDiY8C3ctxq1tqvaCgkFb8cCA/edit?usp=sharing"",""เลย!I381"")"),0)</f>
        <v>0</v>
      </c>
      <c r="J486" s="189">
        <f ca="1">IFERROR(__xludf.DUMMYFUNCTION("IMPORTRANGE(""https://docs.google.com/spreadsheets/d/1XL5vhW3sbDhbH9Cz0tuDiY8C3ctxq1tqvaCgkFb8cCA/edit?usp=sharing"",""เลย!J381"")"),99)</f>
        <v>99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IFERROR(__xludf.DUMMYFUNCTION("IMPORTRANGE(""https://docs.google.com/spreadsheets/d/1XL5vhW3sbDhbH9Cz0tuDiY8C3ctxq1tqvaCgkFb8cCA/edit?usp=sharing"",""เลย!I382"")"),0)</f>
        <v>0</v>
      </c>
      <c r="J487" s="420">
        <f ca="1">IFERROR(__xludf.DUMMYFUNCTION("IMPORTRANGE(""https://docs.google.com/spreadsheets/d/1XL5vhW3sbDhbH9Cz0tuDiY8C3ctxq1tqvaCgkFb8cCA/edit?usp=sharing"",""เลย!J382"")"),1237.34)</f>
        <v>1237.3399999999999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IFERROR(__xludf.DUMMYFUNCTION("IMPORTRANGE(""https://docs.google.com/spreadsheets/d/1XL5vhW3sbDhbH9Cz0tuDiY8C3ctxq1tqvaCgkFb8cCA/edit?usp=sharing"",""เลย!I383"")"),0)</f>
        <v>0</v>
      </c>
      <c r="J488" s="420">
        <f ca="1">IFERROR(__xludf.DUMMYFUNCTION("IMPORTRANGE(""https://docs.google.com/spreadsheets/d/1XL5vhW3sbDhbH9Cz0tuDiY8C3ctxq1tqvaCgkFb8cCA/edit?usp=sharing"",""เลย!J383"")"),134)</f>
        <v>134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IFERROR(__xludf.DUMMYFUNCTION("IMPORTRANGE(""https://docs.google.com/spreadsheets/d/1XL5vhW3sbDhbH9Cz0tuDiY8C3ctxq1tqvaCgkFb8cCA/edit?usp=sharing"",""เลย!I384"")"),0)</f>
        <v>0</v>
      </c>
      <c r="J489" s="189">
        <f ca="1">IFERROR(__xludf.DUMMYFUNCTION("IMPORTRANGE(""https://docs.google.com/spreadsheets/d/1XL5vhW3sbDhbH9Cz0tuDiY8C3ctxq1tqvaCgkFb8cCA/edit?usp=sharing"",""เลย!J384"")"),1220.8725)</f>
        <v>1220.8724999999999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IFERROR(__xludf.DUMMYFUNCTION("IMPORTRANGE(""https://docs.google.com/spreadsheets/d/1XL5vhW3sbDhbH9Cz0tuDiY8C3ctxq1tqvaCgkFb8cCA/edit?usp=sharing"",""เลย!I385"")"),0)</f>
        <v>0</v>
      </c>
      <c r="J490" s="189">
        <f ca="1">IFERROR(__xludf.DUMMYFUNCTION("IMPORTRANGE(""https://docs.google.com/spreadsheets/d/1XL5vhW3sbDhbH9Cz0tuDiY8C3ctxq1tqvaCgkFb8cCA/edit?usp=sharing"",""เลย!J385"")"),133)</f>
        <v>133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IFERROR(__xludf.DUMMYFUNCTION("IMPORTRANGE(""https://docs.google.com/spreadsheets/d/1XL5vhW3sbDhbH9Cz0tuDiY8C3ctxq1tqvaCgkFb8cCA/edit?usp=sharing"",""เลย!I386"")"),0)</f>
        <v>0</v>
      </c>
      <c r="J491" s="189">
        <f ca="1">IFERROR(__xludf.DUMMYFUNCTION("IMPORTRANGE(""https://docs.google.com/spreadsheets/d/1XL5vhW3sbDhbH9Cz0tuDiY8C3ctxq1tqvaCgkFb8cCA/edit?usp=sharing"",""เลย!J386"")"),16.4675)</f>
        <v>16.467500000000001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IFERROR(__xludf.DUMMYFUNCTION("IMPORTRANGE(""https://docs.google.com/spreadsheets/d/1XL5vhW3sbDhbH9Cz0tuDiY8C3ctxq1tqvaCgkFb8cCA/edit?usp=sharing"",""เลย!I387"")"),0)</f>
        <v>0</v>
      </c>
      <c r="J492" s="189">
        <f ca="1">IFERROR(__xludf.DUMMYFUNCTION("IMPORTRANGE(""https://docs.google.com/spreadsheets/d/1XL5vhW3sbDhbH9Cz0tuDiY8C3ctxq1tqvaCgkFb8cCA/edit?usp=sharing"",""เลย!J387"")"),1)</f>
        <v>1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IFERROR(__xludf.DUMMYFUNCTION("IMPORTRANGE(""https://docs.google.com/spreadsheets/d/1XL5vhW3sbDhbH9Cz0tuDiY8C3ctxq1tqvaCgkFb8cCA/edit?usp=sharing"",""เลย!I388"")"),0)</f>
        <v>0</v>
      </c>
      <c r="J493" s="189">
        <f ca="1">IFERROR(__xludf.DUMMYFUNCTION("IMPORTRANGE(""https://docs.google.com/spreadsheets/d/1XL5vhW3sbDhbH9Cz0tuDiY8C3ctxq1tqvaCgkFb8cCA/edit?usp=sharing"",""เลย!J388"")"),0)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IFERROR(__xludf.DUMMYFUNCTION("IMPORTRANGE(""https://docs.google.com/spreadsheets/d/1XL5vhW3sbDhbH9Cz0tuDiY8C3ctxq1tqvaCgkFb8cCA/edit?usp=sharing"",""เลย!I389"")"),0)</f>
        <v>0</v>
      </c>
      <c r="J494" s="436">
        <f ca="1">IFERROR(__xludf.DUMMYFUNCTION("IMPORTRANGE(""https://docs.google.com/spreadsheets/d/1XL5vhW3sbDhbH9Cz0tuDiY8C3ctxq1tqvaCgkFb8cCA/edit?usp=sharing"",""เลย!J389"")"),0)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IFERROR(__xludf.DUMMYFUNCTION("IMPORTRANGE(""https://docs.google.com/spreadsheets/d/1XL5vhW3sbDhbH9Cz0tuDiY8C3ctxq1tqvaCgkFb8cCA/edit?usp=sharing"",""เลย!I390"")"),0)</f>
        <v>0</v>
      </c>
      <c r="J495" s="436">
        <f ca="1">IFERROR(__xludf.DUMMYFUNCTION("IMPORTRANGE(""https://docs.google.com/spreadsheets/d/1XL5vhW3sbDhbH9Cz0tuDiY8C3ctxq1tqvaCgkFb8cCA/edit?usp=sharing"",""เลย!J390"")"),0)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IFERROR(__xludf.DUMMYFUNCTION("IMPORTRANGE(""https://docs.google.com/spreadsheets/d/1XL5vhW3sbDhbH9Cz0tuDiY8C3ctxq1tqvaCgkFb8cCA/edit?usp=sharing"",""เลย!I391"")"),0)</f>
        <v>0</v>
      </c>
      <c r="J496" s="436">
        <f ca="1">IFERROR(__xludf.DUMMYFUNCTION("IMPORTRANGE(""https://docs.google.com/spreadsheets/d/1XL5vhW3sbDhbH9Cz0tuDiY8C3ctxq1tqvaCgkFb8cCA/edit?usp=sharing"",""เลย!J391"")"),0)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IFERROR(__xludf.DUMMYFUNCTION("IMPORTRANGE(""https://docs.google.com/spreadsheets/d/1XL5vhW3sbDhbH9Cz0tuDiY8C3ctxq1tqvaCgkFb8cCA/edit?usp=sharing"",""เลย!I392"")"),1642)</f>
        <v>1642</v>
      </c>
      <c r="J497" s="443">
        <f ca="1">IFERROR(__xludf.DUMMYFUNCTION("IMPORTRANGE(""https://docs.google.com/spreadsheets/d/1XL5vhW3sbDhbH9Cz0tuDiY8C3ctxq1tqvaCgkFb8cCA/edit?usp=sharing"",""เลย!J392"")"),1643.14)</f>
        <v>1643.14</v>
      </c>
      <c r="K497" s="444">
        <f t="shared" ca="1" si="117"/>
        <v>100.06942752740561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IFERROR(__xludf.DUMMYFUNCTION("IMPORTRANGE(""https://docs.google.com/spreadsheets/d/1XL5vhW3sbDhbH9Cz0tuDiY8C3ctxq1tqvaCgkFb8cCA/edit?usp=sharing"",""เลย!I393"")"),1642)</f>
        <v>1642</v>
      </c>
      <c r="J498" s="420">
        <f ca="1">IFERROR(__xludf.DUMMYFUNCTION("IMPORTRANGE(""https://docs.google.com/spreadsheets/d/1XL5vhW3sbDhbH9Cz0tuDiY8C3ctxq1tqvaCgkFb8cCA/edit?usp=sharing"",""เลย!J393"")"),1643.14)</f>
        <v>1643.14</v>
      </c>
      <c r="K498" s="202">
        <f t="shared" ca="1" si="117"/>
        <v>100.06942752740561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IFERROR(__xludf.DUMMYFUNCTION("IMPORTRANGE(""https://docs.google.com/spreadsheets/d/1XL5vhW3sbDhbH9Cz0tuDiY8C3ctxq1tqvaCgkFb8cCA/edit?usp=sharing"",""เลย!I394"")"),123)</f>
        <v>123</v>
      </c>
      <c r="J499" s="420">
        <f ca="1">IFERROR(__xludf.DUMMYFUNCTION("IMPORTRANGE(""https://docs.google.com/spreadsheets/d/1XL5vhW3sbDhbH9Cz0tuDiY8C3ctxq1tqvaCgkFb8cCA/edit?usp=sharing"",""เลย!J394"")"),123)</f>
        <v>123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IFERROR(__xludf.DUMMYFUNCTION("IMPORTRANGE(""https://docs.google.com/spreadsheets/d/1XL5vhW3sbDhbH9Cz0tuDiY8C3ctxq1tqvaCgkFb8cCA/edit?usp=sharing"",""เลย!I395"")"),0)</f>
        <v>0</v>
      </c>
      <c r="J500" s="162">
        <f ca="1">IFERROR(__xludf.DUMMYFUNCTION("IMPORTRANGE(""https://docs.google.com/spreadsheets/d/1XL5vhW3sbDhbH9Cz0tuDiY8C3ctxq1tqvaCgkFb8cCA/edit?usp=sharing"",""เลย!J395"")"),1642)</f>
        <v>1642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IFERROR(__xludf.DUMMYFUNCTION("IMPORTRANGE(""https://docs.google.com/spreadsheets/d/1XL5vhW3sbDhbH9Cz0tuDiY8C3ctxq1tqvaCgkFb8cCA/edit?usp=sharing"",""เลย!I396"")"),0)</f>
        <v>0</v>
      </c>
      <c r="J501" s="162">
        <f ca="1">IFERROR(__xludf.DUMMYFUNCTION("IMPORTRANGE(""https://docs.google.com/spreadsheets/d/1XL5vhW3sbDhbH9Cz0tuDiY8C3ctxq1tqvaCgkFb8cCA/edit?usp=sharing"",""เลย!J396"")"),121)</f>
        <v>121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IFERROR(__xludf.DUMMYFUNCTION("IMPORTRANGE(""https://docs.google.com/spreadsheets/d/1XL5vhW3sbDhbH9Cz0tuDiY8C3ctxq1tqvaCgkFb8cCA/edit?usp=sharing"",""เลย!I397"")"),0)</f>
        <v>0</v>
      </c>
      <c r="J502" s="189">
        <f ca="1">IFERROR(__xludf.DUMMYFUNCTION("IMPORTRANGE(""https://docs.google.com/spreadsheets/d/1XL5vhW3sbDhbH9Cz0tuDiY8C3ctxq1tqvaCgkFb8cCA/edit?usp=sharing"",""เลย!J397"")"),110)</f>
        <v>110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IFERROR(__xludf.DUMMYFUNCTION("IMPORTRANGE(""https://docs.google.com/spreadsheets/d/1XL5vhW3sbDhbH9Cz0tuDiY8C3ctxq1tqvaCgkFb8cCA/edit?usp=sharing"",""เลย!I398"")"),0)</f>
        <v>0</v>
      </c>
      <c r="J503" s="198">
        <f ca="1">IFERROR(__xludf.DUMMYFUNCTION("IMPORTRANGE(""https://docs.google.com/spreadsheets/d/1XL5vhW3sbDhbH9Cz0tuDiY8C3ctxq1tqvaCgkFb8cCA/edit?usp=sharing"",""เลย!J398"")"),13)</f>
        <v>13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IFERROR(__xludf.DUMMYFUNCTION("IMPORTRANGE(""https://docs.google.com/spreadsheets/d/1XL5vhW3sbDhbH9Cz0tuDiY8C3ctxq1tqvaCgkFb8cCA/edit?usp=sharing"",""เลย!I399"")"),0)</f>
        <v>0</v>
      </c>
      <c r="J504" s="189">
        <f ca="1">IFERROR(__xludf.DUMMYFUNCTION("IMPORTRANGE(""https://docs.google.com/spreadsheets/d/1XL5vhW3sbDhbH9Cz0tuDiY8C3ctxq1tqvaCgkFb8cCA/edit?usp=sharing"",""เลย!J399"")"),1532)</f>
        <v>1532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IFERROR(__xludf.DUMMYFUNCTION("IMPORTRANGE(""https://docs.google.com/spreadsheets/d/1XL5vhW3sbDhbH9Cz0tuDiY8C3ctxq1tqvaCgkFb8cCA/edit?usp=sharing"",""เลย!I400"")"),0)</f>
        <v>0</v>
      </c>
      <c r="J505" s="198">
        <f ca="1">IFERROR(__xludf.DUMMYFUNCTION("IMPORTRANGE(""https://docs.google.com/spreadsheets/d/1XL5vhW3sbDhbH9Cz0tuDiY8C3ctxq1tqvaCgkFb8cCA/edit?usp=sharing"",""เลย!J400"")"),108)</f>
        <v>108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IFERROR(__xludf.DUMMYFUNCTION("IMPORTRANGE(""https://docs.google.com/spreadsheets/d/1XL5vhW3sbDhbH9Cz0tuDiY8C3ctxq1tqvaCgkFb8cCA/edit?usp=sharing"",""เลย!I401"")"),0)</f>
        <v>0</v>
      </c>
      <c r="J506" s="189">
        <f ca="1">IFERROR(__xludf.DUMMYFUNCTION("IMPORTRANGE(""https://docs.google.com/spreadsheets/d/1XL5vhW3sbDhbH9Cz0tuDiY8C3ctxq1tqvaCgkFb8cCA/edit?usp=sharing"",""เลย!J401"")"),0)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IFERROR(__xludf.DUMMYFUNCTION("IMPORTRANGE(""https://docs.google.com/spreadsheets/d/1XL5vhW3sbDhbH9Cz0tuDiY8C3ctxq1tqvaCgkFb8cCA/edit?usp=sharing"",""เลย!I402"")"),0)</f>
        <v>0</v>
      </c>
      <c r="J507" s="198">
        <f ca="1">IFERROR(__xludf.DUMMYFUNCTION("IMPORTRANGE(""https://docs.google.com/spreadsheets/d/1XL5vhW3sbDhbH9Cz0tuDiY8C3ctxq1tqvaCgkFb8cCA/edit?usp=sharing"",""เลย!J402"")"),0)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IFERROR(__xludf.DUMMYFUNCTION("IMPORTRANGE(""https://docs.google.com/spreadsheets/d/1XL5vhW3sbDhbH9Cz0tuDiY8C3ctxq1tqvaCgkFb8cCA/edit?usp=sharing"",""เลย!I403"")"),0)</f>
        <v>0</v>
      </c>
      <c r="J508" s="550">
        <f ca="1">IFERROR(__xludf.DUMMYFUNCTION("IMPORTRANGE(""https://docs.google.com/spreadsheets/d/1XL5vhW3sbDhbH9Cz0tuDiY8C3ctxq1tqvaCgkFb8cCA/edit?usp=sharing"",""เลย!J403"")"),0.38)</f>
        <v>0.38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IFERROR(__xludf.DUMMYFUNCTION("IMPORTRANGE(""https://docs.google.com/spreadsheets/d/1XL5vhW3sbDhbH9Cz0tuDiY8C3ctxq1tqvaCgkFb8cCA/edit?usp=sharing"",""เลย!I404"")"),0)</f>
        <v>0</v>
      </c>
      <c r="J509" s="162">
        <f ca="1">IFERROR(__xludf.DUMMYFUNCTION("IMPORTRANGE(""https://docs.google.com/spreadsheets/d/1XL5vhW3sbDhbH9Cz0tuDiY8C3ctxq1tqvaCgkFb8cCA/edit?usp=sharing"",""เลย!J404"")"),1)</f>
        <v>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IFERROR(__xludf.DUMMYFUNCTION("IMPORTRANGE(""https://docs.google.com/spreadsheets/d/1XL5vhW3sbDhbH9Cz0tuDiY8C3ctxq1tqvaCgkFb8cCA/edit?usp=sharing"",""เลย!I405"")"),0)</f>
        <v>0</v>
      </c>
      <c r="J510" s="198">
        <f ca="1">IFERROR(__xludf.DUMMYFUNCTION("IMPORTRANGE(""https://docs.google.com/spreadsheets/d/1XL5vhW3sbDhbH9Cz0tuDiY8C3ctxq1tqvaCgkFb8cCA/edit?usp=sharing"",""เลย!J405"")"),0)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IFERROR(__xludf.DUMMYFUNCTION("IMPORTRANGE(""https://docs.google.com/spreadsheets/d/1XL5vhW3sbDhbH9Cz0tuDiY8C3ctxq1tqvaCgkFb8cCA/edit?usp=sharing"",""เลย!I406"")"),0)</f>
        <v>0</v>
      </c>
      <c r="J511" s="198">
        <f ca="1">IFERROR(__xludf.DUMMYFUNCTION("IMPORTRANGE(""https://docs.google.com/spreadsheets/d/1XL5vhW3sbDhbH9Cz0tuDiY8C3ctxq1tqvaCgkFb8cCA/edit?usp=sharing"",""เลย!J406"")"),0)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IFERROR(__xludf.DUMMYFUNCTION("IMPORTRANGE(""https://docs.google.com/spreadsheets/d/1XL5vhW3sbDhbH9Cz0tuDiY8C3ctxq1tqvaCgkFb8cCA/edit?usp=sharing"",""เลย!I407"")"),0)</f>
        <v>0</v>
      </c>
      <c r="J512" s="551">
        <f ca="1">IFERROR(__xludf.DUMMYFUNCTION("IMPORTRANGE(""https://docs.google.com/spreadsheets/d/1XL5vhW3sbDhbH9Cz0tuDiY8C3ctxq1tqvaCgkFb8cCA/edit?usp=sharing"",""เลย!J407"")"),0.38)</f>
        <v>0.38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IFERROR(__xludf.DUMMYFUNCTION("IMPORTRANGE(""https://docs.google.com/spreadsheets/d/1XL5vhW3sbDhbH9Cz0tuDiY8C3ctxq1tqvaCgkFb8cCA/edit?usp=sharing"",""เลย!I408"")"),0)</f>
        <v>0</v>
      </c>
      <c r="J513" s="198">
        <f ca="1">IFERROR(__xludf.DUMMYFUNCTION("IMPORTRANGE(""https://docs.google.com/spreadsheets/d/1XL5vhW3sbDhbH9Cz0tuDiY8C3ctxq1tqvaCgkFb8cCA/edit?usp=sharing"",""เลย!J408"")"),1)</f>
        <v>1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IFERROR(__xludf.DUMMYFUNCTION("IMPORTRANGE(""https://docs.google.com/spreadsheets/d/1XL5vhW3sbDhbH9Cz0tuDiY8C3ctxq1tqvaCgkFb8cCA/edit?usp=sharing"",""เลย!I409"")"),0)</f>
        <v>0</v>
      </c>
      <c r="J514" s="198">
        <f ca="1">IFERROR(__xludf.DUMMYFUNCTION("IMPORTRANGE(""https://docs.google.com/spreadsheets/d/1XL5vhW3sbDhbH9Cz0tuDiY8C3ctxq1tqvaCgkFb8cCA/edit?usp=sharing"",""เลย!J409"")"),0.76)</f>
        <v>0.76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IFERROR(__xludf.DUMMYFUNCTION("IMPORTRANGE(""https://docs.google.com/spreadsheets/d/1XL5vhW3sbDhbH9Cz0tuDiY8C3ctxq1tqvaCgkFb8cCA/edit?usp=sharing"",""เลย!I410"")"),0)</f>
        <v>0</v>
      </c>
      <c r="J515" s="198">
        <f ca="1">IFERROR(__xludf.DUMMYFUNCTION("IMPORTRANGE(""https://docs.google.com/spreadsheets/d/1XL5vhW3sbDhbH9Cz0tuDiY8C3ctxq1tqvaCgkFb8cCA/edit?usp=sharing"",""เลย!J410"")"),1)</f>
        <v>1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IFERROR(__xludf.DUMMYFUNCTION("IMPORTRANGE(""https://docs.google.com/spreadsheets/d/1XL5vhW3sbDhbH9Cz0tuDiY8C3ctxq1tqvaCgkFb8cCA/edit?usp=sharing"",""เลย!I411"")"),0)</f>
        <v>0</v>
      </c>
      <c r="J516" s="267">
        <f ca="1">IFERROR(__xludf.DUMMYFUNCTION("IMPORTRANGE(""https://docs.google.com/spreadsheets/d/1XL5vhW3sbDhbH9Cz0tuDiY8C3ctxq1tqvaCgkFb8cCA/edit?usp=sharing"",""เลย!J411"")"),0)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IFERROR(__xludf.DUMMYFUNCTION("IMPORTRANGE(""https://docs.google.com/spreadsheets/d/1XL5vhW3sbDhbH9Cz0tuDiY8C3ctxq1tqvaCgkFb8cCA/edit?usp=sharing"",""เลย!I412"")"),0)</f>
        <v>0</v>
      </c>
      <c r="J517" s="284">
        <f ca="1">IFERROR(__xludf.DUMMYFUNCTION("IMPORTRANGE(""https://docs.google.com/spreadsheets/d/1XL5vhW3sbDhbH9Cz0tuDiY8C3ctxq1tqvaCgkFb8cCA/edit?usp=sharing"",""เลย!J412"")"),0)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IFERROR(__xludf.DUMMYFUNCTION("IMPORTRANGE(""https://docs.google.com/spreadsheets/d/1XL5vhW3sbDhbH9Cz0tuDiY8C3ctxq1tqvaCgkFb8cCA/edit?usp=sharing"",""เลย!I413"")"),0)</f>
        <v>0</v>
      </c>
      <c r="J518" s="284">
        <f ca="1">IFERROR(__xludf.DUMMYFUNCTION("IMPORTRANGE(""https://docs.google.com/spreadsheets/d/1XL5vhW3sbDhbH9Cz0tuDiY8C3ctxq1tqvaCgkFb8cCA/edit?usp=sharing"",""เลย!J413"")"),0)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IFERROR(__xludf.DUMMYFUNCTION("IMPORTRANGE(""https://docs.google.com/spreadsheets/d/1XL5vhW3sbDhbH9Cz0tuDiY8C3ctxq1tqvaCgkFb8cCA/edit?usp=sharing"",""เลย!I414"")"),0)</f>
        <v>0</v>
      </c>
      <c r="J519" s="188">
        <f ca="1">IFERROR(__xludf.DUMMYFUNCTION("IMPORTRANGE(""https://docs.google.com/spreadsheets/d/1XL5vhW3sbDhbH9Cz0tuDiY8C3ctxq1tqvaCgkFb8cCA/edit?usp=sharing"",""เลย!J414"")"),0)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IFERROR(__xludf.DUMMYFUNCTION("IMPORTRANGE(""https://docs.google.com/spreadsheets/d/1XL5vhW3sbDhbH9Cz0tuDiY8C3ctxq1tqvaCgkFb8cCA/edit?usp=sharing"",""เลย!I415"")"),0)</f>
        <v>0</v>
      </c>
      <c r="J520" s="188">
        <f ca="1">IFERROR(__xludf.DUMMYFUNCTION("IMPORTRANGE(""https://docs.google.com/spreadsheets/d/1XL5vhW3sbDhbH9Cz0tuDiY8C3ctxq1tqvaCgkFb8cCA/edit?usp=sharing"",""เลย!J415"")"),0)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IFERROR(__xludf.DUMMYFUNCTION("IMPORTRANGE(""https://docs.google.com/spreadsheets/d/1XL5vhW3sbDhbH9Cz0tuDiY8C3ctxq1tqvaCgkFb8cCA/edit?usp=sharing"",""เลย!I416"")"),0)</f>
        <v>0</v>
      </c>
      <c r="J521" s="188">
        <f ca="1">IFERROR(__xludf.DUMMYFUNCTION("IMPORTRANGE(""https://docs.google.com/spreadsheets/d/1XL5vhW3sbDhbH9Cz0tuDiY8C3ctxq1tqvaCgkFb8cCA/edit?usp=sharing"",""เลย!J416"")"),0)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IFERROR(__xludf.DUMMYFUNCTION("IMPORTRANGE(""https://docs.google.com/spreadsheets/d/1XL5vhW3sbDhbH9Cz0tuDiY8C3ctxq1tqvaCgkFb8cCA/edit?usp=sharing"",""เลย!I417"")"),0)</f>
        <v>0</v>
      </c>
      <c r="J522" s="188">
        <f ca="1">IFERROR(__xludf.DUMMYFUNCTION("IMPORTRANGE(""https://docs.google.com/spreadsheets/d/1XL5vhW3sbDhbH9Cz0tuDiY8C3ctxq1tqvaCgkFb8cCA/edit?usp=sharing"",""เลย!J417"")"),0)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IFERROR(__xludf.DUMMYFUNCTION("IMPORTRANGE(""https://docs.google.com/spreadsheets/d/1XL5vhW3sbDhbH9Cz0tuDiY8C3ctxq1tqvaCgkFb8cCA/edit?usp=sharing"",""เลย!I418"")"),0)</f>
        <v>0</v>
      </c>
      <c r="J523" s="188">
        <f ca="1">IFERROR(__xludf.DUMMYFUNCTION("IMPORTRANGE(""https://docs.google.com/spreadsheets/d/1XL5vhW3sbDhbH9Cz0tuDiY8C3ctxq1tqvaCgkFb8cCA/edit?usp=sharing"",""เลย!J418"")"),0)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IFERROR(__xludf.DUMMYFUNCTION("IMPORTRANGE(""https://docs.google.com/spreadsheets/d/1XL5vhW3sbDhbH9Cz0tuDiY8C3ctxq1tqvaCgkFb8cCA/edit?usp=sharing"",""เลย!I419"")"),0)</f>
        <v>0</v>
      </c>
      <c r="J524" s="188">
        <f ca="1">IFERROR(__xludf.DUMMYFUNCTION("IMPORTRANGE(""https://docs.google.com/spreadsheets/d/1XL5vhW3sbDhbH9Cz0tuDiY8C3ctxq1tqvaCgkFb8cCA/edit?usp=sharing"",""เลย!J419"")"),0)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IFERROR(__xludf.DUMMYFUNCTION("IMPORTRANGE(""https://docs.google.com/spreadsheets/d/1XL5vhW3sbDhbH9Cz0tuDiY8C3ctxq1tqvaCgkFb8cCA/edit?usp=sharing"",""เลย!I420"")"),0)</f>
        <v>0</v>
      </c>
      <c r="J525" s="284">
        <f ca="1">IFERROR(__xludf.DUMMYFUNCTION("IMPORTRANGE(""https://docs.google.com/spreadsheets/d/1XL5vhW3sbDhbH9Cz0tuDiY8C3ctxq1tqvaCgkFb8cCA/edit?usp=sharing"",""เลย!J420"")"),0)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IFERROR(__xludf.DUMMYFUNCTION("IMPORTRANGE(""https://docs.google.com/spreadsheets/d/1XL5vhW3sbDhbH9Cz0tuDiY8C3ctxq1tqvaCgkFb8cCA/edit?usp=sharing"",""เลย!I421"")"),0)</f>
        <v>0</v>
      </c>
      <c r="J526" s="284">
        <f ca="1">IFERROR(__xludf.DUMMYFUNCTION("IMPORTRANGE(""https://docs.google.com/spreadsheets/d/1XL5vhW3sbDhbH9Cz0tuDiY8C3ctxq1tqvaCgkFb8cCA/edit?usp=sharing"",""เลย!J421"")"),0)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IFERROR(__xludf.DUMMYFUNCTION("IMPORTRANGE(""https://docs.google.com/spreadsheets/d/1XL5vhW3sbDhbH9Cz0tuDiY8C3ctxq1tqvaCgkFb8cCA/edit?usp=sharing"",""เลย!I422"")"),0)</f>
        <v>0</v>
      </c>
      <c r="J527" s="198">
        <f ca="1">IFERROR(__xludf.DUMMYFUNCTION("IMPORTRANGE(""https://docs.google.com/spreadsheets/d/1XL5vhW3sbDhbH9Cz0tuDiY8C3ctxq1tqvaCgkFb8cCA/edit?usp=sharing"",""เลย!J422"")"),0)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IFERROR(__xludf.DUMMYFUNCTION("IMPORTRANGE(""https://docs.google.com/spreadsheets/d/1XL5vhW3sbDhbH9Cz0tuDiY8C3ctxq1tqvaCgkFb8cCA/edit?usp=sharing"",""เลย!I423"")"),0)</f>
        <v>0</v>
      </c>
      <c r="J528" s="198">
        <f ca="1">IFERROR(__xludf.DUMMYFUNCTION("IMPORTRANGE(""https://docs.google.com/spreadsheets/d/1XL5vhW3sbDhbH9Cz0tuDiY8C3ctxq1tqvaCgkFb8cCA/edit?usp=sharing"",""เลย!J423"")"),0)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IFERROR(__xludf.DUMMYFUNCTION("IMPORTRANGE(""https://docs.google.com/spreadsheets/d/1XL5vhW3sbDhbH9Cz0tuDiY8C3ctxq1tqvaCgkFb8cCA/edit?usp=sharing"",""เลย!I424"")"),0)</f>
        <v>0</v>
      </c>
      <c r="J529" s="198">
        <f ca="1">IFERROR(__xludf.DUMMYFUNCTION("IMPORTRANGE(""https://docs.google.com/spreadsheets/d/1XL5vhW3sbDhbH9Cz0tuDiY8C3ctxq1tqvaCgkFb8cCA/edit?usp=sharing"",""เลย!J424"")"),0)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IFERROR(__xludf.DUMMYFUNCTION("IMPORTRANGE(""https://docs.google.com/spreadsheets/d/1XL5vhW3sbDhbH9Cz0tuDiY8C3ctxq1tqvaCgkFb8cCA/edit?usp=sharing"",""เลย!I425"")"),0)</f>
        <v>0</v>
      </c>
      <c r="J530" s="198">
        <f ca="1">IFERROR(__xludf.DUMMYFUNCTION("IMPORTRANGE(""https://docs.google.com/spreadsheets/d/1XL5vhW3sbDhbH9Cz0tuDiY8C3ctxq1tqvaCgkFb8cCA/edit?usp=sharing"",""เลย!J425"")"),0)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IFERROR(__xludf.DUMMYFUNCTION("IMPORTRANGE(""https://docs.google.com/spreadsheets/d/1XL5vhW3sbDhbH9Cz0tuDiY8C3ctxq1tqvaCgkFb8cCA/edit?usp=sharing"",""เลย!I426"")"),0)</f>
        <v>0</v>
      </c>
      <c r="J531" s="198">
        <f ca="1">IFERROR(__xludf.DUMMYFUNCTION("IMPORTRANGE(""https://docs.google.com/spreadsheets/d/1XL5vhW3sbDhbH9Cz0tuDiY8C3ctxq1tqvaCgkFb8cCA/edit?usp=sharing"",""เลย!J426"")"),0)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IFERROR(__xludf.DUMMYFUNCTION("IMPORTRANGE(""https://docs.google.com/spreadsheets/d/1XL5vhW3sbDhbH9Cz0tuDiY8C3ctxq1tqvaCgkFb8cCA/edit?usp=sharing"",""เลย!I427"")"),0)</f>
        <v>0</v>
      </c>
      <c r="J532" s="466">
        <f ca="1">IFERROR(__xludf.DUMMYFUNCTION("IMPORTRANGE(""https://docs.google.com/spreadsheets/d/1XL5vhW3sbDhbH9Cz0tuDiY8C3ctxq1tqvaCgkFb8cCA/edit?usp=sharing"",""เลย!J427"")"),0)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IFERROR(__xludf.DUMMYFUNCTION("IMPORTRANGE(""https://docs.google.com/spreadsheets/d/1XL5vhW3sbDhbH9Cz0tuDiY8C3ctxq1tqvaCgkFb8cCA/edit?usp=sharing"",""เลย!I428"")"),22)</f>
        <v>22</v>
      </c>
      <c r="J533" s="410">
        <f ca="1">IFERROR(__xludf.DUMMYFUNCTION("IMPORTRANGE(""https://docs.google.com/spreadsheets/d/1XL5vhW3sbDhbH9Cz0tuDiY8C3ctxq1tqvaCgkFb8cCA/edit?usp=sharing"",""เลย!J428"")"),22)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IFERROR(__xludf.DUMMYFUNCTION("IMPORTRANGE(""https://docs.google.com/spreadsheets/d/1XL5vhW3sbDhbH9Cz0tuDiY8C3ctxq1tqvaCgkFb8cCA/edit?usp=sharing"",""เลย!L428"")"),34340)</f>
        <v>34340</v>
      </c>
      <c r="M533" s="412"/>
      <c r="N533" s="412">
        <f ca="1">IFERROR(__xludf.DUMMYFUNCTION("IMPORTRANGE(""https://docs.google.com/spreadsheets/d/1XL5vhW3sbDhbH9Cz0tuDiY8C3ctxq1tqvaCgkFb8cCA/edit?usp=sharing"",""เลย!M428"")"),21180)</f>
        <v>21180</v>
      </c>
      <c r="O533" s="412">
        <f t="shared" ref="O533:O537" ca="1" si="118">+IF(L533&gt;0,N533*100/L533,0)</f>
        <v>61.677344205008737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IFERROR(__xludf.DUMMYFUNCTION("IMPORTRANGE(""https://docs.google.com/spreadsheets/d/1XL5vhW3sbDhbH9Cz0tuDiY8C3ctxq1tqvaCgkFb8cCA/edit?usp=sharing"",""เลย!L429"")"),0)</f>
        <v>0</v>
      </c>
      <c r="M534" s="164"/>
      <c r="N534" s="169">
        <f ca="1">IFERROR(__xludf.DUMMYFUNCTION("IMPORTRANGE(""https://docs.google.com/spreadsheets/d/1XL5vhW3sbDhbH9Cz0tuDiY8C3ctxq1tqvaCgkFb8cCA/edit?usp=sharing"",""เลย!M429"")"),0)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IFERROR(__xludf.DUMMYFUNCTION("IMPORTRANGE(""https://docs.google.com/spreadsheets/d/1XL5vhW3sbDhbH9Cz0tuDiY8C3ctxq1tqvaCgkFb8cCA/edit?usp=sharing"",""เลย!L430"")"),34340)</f>
        <v>34340</v>
      </c>
      <c r="M535" s="165"/>
      <c r="N535" s="169">
        <f ca="1">IFERROR(__xludf.DUMMYFUNCTION("IMPORTRANGE(""https://docs.google.com/spreadsheets/d/1XL5vhW3sbDhbH9Cz0tuDiY8C3ctxq1tqvaCgkFb8cCA/edit?usp=sharing"",""เลย!M430"")"),21180)</f>
        <v>21180</v>
      </c>
      <c r="O535" s="169">
        <f t="shared" ca="1" si="118"/>
        <v>61.677344205008737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IFERROR(__xludf.DUMMYFUNCTION("IMPORTRANGE(""https://docs.google.com/spreadsheets/d/1XL5vhW3sbDhbH9Cz0tuDiY8C3ctxq1tqvaCgkFb8cCA/edit?usp=sharing"",""เลย!L431"")"),0)</f>
        <v>0</v>
      </c>
      <c r="M536" s="169"/>
      <c r="N536" s="169">
        <f ca="1">IFERROR(__xludf.DUMMYFUNCTION("IMPORTRANGE(""https://docs.google.com/spreadsheets/d/1XL5vhW3sbDhbH9Cz0tuDiY8C3ctxq1tqvaCgkFb8cCA/edit?usp=sharing"",""เลย!M431"")"),0)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IFERROR(__xludf.DUMMYFUNCTION("IMPORTRANGE(""https://docs.google.com/spreadsheets/d/1XL5vhW3sbDhbH9Cz0tuDiY8C3ctxq1tqvaCgkFb8cCA/edit?usp=sharing"",""เลย!L432"")"),34340)</f>
        <v>34340</v>
      </c>
      <c r="M537" s="169"/>
      <c r="N537" s="169">
        <f ca="1">IFERROR(__xludf.DUMMYFUNCTION("IMPORTRANGE(""https://docs.google.com/spreadsheets/d/1XL5vhW3sbDhbH9Cz0tuDiY8C3ctxq1tqvaCgkFb8cCA/edit?usp=sharing"",""เลย!M432"")"),21180)</f>
        <v>21180</v>
      </c>
      <c r="O537" s="169">
        <f t="shared" ca="1" si="118"/>
        <v>61.677344205008737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IFERROR(__xludf.DUMMYFUNCTION("IMPORTRANGE(""https://docs.google.com/spreadsheets/d/1XL5vhW3sbDhbH9Cz0tuDiY8C3ctxq1tqvaCgkFb8cCA/edit?usp=sharing"",""เลย!M433"")"),18740)</f>
        <v>18740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IFERROR(__xludf.DUMMYFUNCTION("IMPORTRANGE(""https://docs.google.com/spreadsheets/d/1XL5vhW3sbDhbH9Cz0tuDiY8C3ctxq1tqvaCgkFb8cCA/edit?usp=sharing"",""เลย!M434"")"),0)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IFERROR(__xludf.DUMMYFUNCTION("IMPORTRANGE(""https://docs.google.com/spreadsheets/d/1XL5vhW3sbDhbH9Cz0tuDiY8C3ctxq1tqvaCgkFb8cCA/edit?usp=sharing"",""เลย!M435"")"),0)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IFERROR(__xludf.DUMMYFUNCTION("IMPORTRANGE(""https://docs.google.com/spreadsheets/d/1XL5vhW3sbDhbH9Cz0tuDiY8C3ctxq1tqvaCgkFb8cCA/edit?usp=sharing"",""เลย!M436"")"),2440)</f>
        <v>2440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IFERROR(__xludf.DUMMYFUNCTION("IMPORTRANGE(""https://docs.google.com/spreadsheets/d/1XL5vhW3sbDhbH9Cz0tuDiY8C3ctxq1tqvaCgkFb8cCA/edit?usp=sharing"",""เลย!J438"")"),0)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IFERROR(__xludf.DUMMYFUNCTION("IMPORTRANGE(""https://docs.google.com/spreadsheets/d/1XL5vhW3sbDhbH9Cz0tuDiY8C3ctxq1tqvaCgkFb8cCA/edit?usp=sharing"",""เลย!J439"")"),1)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IFERROR(__xludf.DUMMYFUNCTION("IMPORTRANGE(""https://docs.google.com/spreadsheets/d/1XL5vhW3sbDhbH9Cz0tuDiY8C3ctxq1tqvaCgkFb8cCA/edit?usp=sharing"",""เลย!J440"")"),1)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IFERROR(__xludf.DUMMYFUNCTION("IMPORTRANGE(""https://docs.google.com/spreadsheets/d/1XL5vhW3sbDhbH9Cz0tuDiY8C3ctxq1tqvaCgkFb8cCA/edit?usp=sharing"",""เลย!J441"")"),0)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IFERROR(__xludf.DUMMYFUNCTION("IMPORTRANGE(""https://docs.google.com/spreadsheets/d/1XL5vhW3sbDhbH9Cz0tuDiY8C3ctxq1tqvaCgkFb8cCA/edit?usp=sharing"",""เลย!I442"")"),22)</f>
        <v>22</v>
      </c>
      <c r="J547" s="189">
        <f ca="1">IFERROR(__xludf.DUMMYFUNCTION("IMPORTRANGE(""https://docs.google.com/spreadsheets/d/1XL5vhW3sbDhbH9Cz0tuDiY8C3ctxq1tqvaCgkFb8cCA/edit?usp=sharing"",""เลย!J442"")"),22)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IFERROR(__xludf.DUMMYFUNCTION("IMPORTRANGE(""https://docs.google.com/spreadsheets/d/1XL5vhW3sbDhbH9Cz0tuDiY8C3ctxq1tqvaCgkFb8cCA/edit?usp=sharing"",""เลย!J166"")"),0)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IFERROR(__xludf.DUMMYFUNCTION("IMPORTRANGE(""https://docs.google.com/spreadsheets/d/1XL5vhW3sbDhbH9Cz0tuDiY8C3ctxq1tqvaCgkFb8cCA/edit?usp=sharing"",""เลย!J444"")"),0)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IFERROR(__xludf.DUMMYFUNCTION("IMPORTRANGE(""https://docs.google.com/spreadsheets/d/1XL5vhW3sbDhbH9Cz0tuDiY8C3ctxq1tqvaCgkFb8cCA/edit?usp=sharing"",""เลย!J445"")"),0)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IFERROR(__xludf.DUMMYFUNCTION("IMPORTRANGE(""https://docs.google.com/spreadsheets/d/1XL5vhW3sbDhbH9Cz0tuDiY8C3ctxq1tqvaCgkFb8cCA/edit?usp=sharing"",""เลย!I446"")"),5000)</f>
        <v>5000</v>
      </c>
      <c r="J551" s="410">
        <f ca="1">IFERROR(__xludf.DUMMYFUNCTION("IMPORTRANGE(""https://docs.google.com/spreadsheets/d/1XL5vhW3sbDhbH9Cz0tuDiY8C3ctxq1tqvaCgkFb8cCA/edit?usp=sharing"",""เลย!J446"")"),2056)</f>
        <v>2056</v>
      </c>
      <c r="K551" s="411">
        <f ca="1">IF(I551&gt;0,J551*100/I551,0)</f>
        <v>41.12</v>
      </c>
      <c r="L551" s="412">
        <f ca="1">IFERROR(__xludf.DUMMYFUNCTION("IMPORTRANGE(""https://docs.google.com/spreadsheets/d/1XL5vhW3sbDhbH9Cz0tuDiY8C3ctxq1tqvaCgkFb8cCA/edit?usp=sharing"",""เลย!L446"")"),310000)</f>
        <v>310000</v>
      </c>
      <c r="M551" s="412"/>
      <c r="N551" s="412">
        <f ca="1">IFERROR(__xludf.DUMMYFUNCTION("IMPORTRANGE(""https://docs.google.com/spreadsheets/d/1XL5vhW3sbDhbH9Cz0tuDiY8C3ctxq1tqvaCgkFb8cCA/edit?usp=sharing"",""เลย!M446"")"),193265.82)</f>
        <v>193265.82</v>
      </c>
      <c r="O551" s="412">
        <f t="shared" ref="O551:O555" ca="1" si="120">+IF(L551&gt;0,N551*100/L551,0)</f>
        <v>62.343812903225803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IFERROR(__xludf.DUMMYFUNCTION("IMPORTRANGE(""https://docs.google.com/spreadsheets/d/1XL5vhW3sbDhbH9Cz0tuDiY8C3ctxq1tqvaCgkFb8cCA/edit?usp=sharing"",""เลย!L447"")"),0)</f>
        <v>0</v>
      </c>
      <c r="M552" s="164"/>
      <c r="N552" s="169">
        <f ca="1">IFERROR(__xludf.DUMMYFUNCTION("IMPORTRANGE(""https://docs.google.com/spreadsheets/d/1XL5vhW3sbDhbH9Cz0tuDiY8C3ctxq1tqvaCgkFb8cCA/edit?usp=sharing"",""เลย!M447"")"),0)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IFERROR(__xludf.DUMMYFUNCTION("IMPORTRANGE(""https://docs.google.com/spreadsheets/d/1XL5vhW3sbDhbH9Cz0tuDiY8C3ctxq1tqvaCgkFb8cCA/edit?usp=sharing"",""เลย!L448"")"),310000)</f>
        <v>310000</v>
      </c>
      <c r="M553" s="165"/>
      <c r="N553" s="169">
        <f ca="1">IFERROR(__xludf.DUMMYFUNCTION("IMPORTRANGE(""https://docs.google.com/spreadsheets/d/1XL5vhW3sbDhbH9Cz0tuDiY8C3ctxq1tqvaCgkFb8cCA/edit?usp=sharing"",""เลย!M448"")"),193265.82)</f>
        <v>193265.82</v>
      </c>
      <c r="O553" s="169">
        <f t="shared" ca="1" si="120"/>
        <v>62.343812903225803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IFERROR(__xludf.DUMMYFUNCTION("IMPORTRANGE(""https://docs.google.com/spreadsheets/d/1XL5vhW3sbDhbH9Cz0tuDiY8C3ctxq1tqvaCgkFb8cCA/edit?usp=sharing"",""เลย!L449"")"),0)</f>
        <v>0</v>
      </c>
      <c r="M554" s="169"/>
      <c r="N554" s="169">
        <f ca="1">IFERROR(__xludf.DUMMYFUNCTION("IMPORTRANGE(""https://docs.google.com/spreadsheets/d/1XL5vhW3sbDhbH9Cz0tuDiY8C3ctxq1tqvaCgkFb8cCA/edit?usp=sharing"",""เลย!M449"")"),0)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IFERROR(__xludf.DUMMYFUNCTION("IMPORTRANGE(""https://docs.google.com/spreadsheets/d/1XL5vhW3sbDhbH9Cz0tuDiY8C3ctxq1tqvaCgkFb8cCA/edit?usp=sharing"",""เลย!L450"")"),310000)</f>
        <v>310000</v>
      </c>
      <c r="M555" s="169"/>
      <c r="N555" s="169">
        <f ca="1">IFERROR(__xludf.DUMMYFUNCTION("IMPORTRANGE(""https://docs.google.com/spreadsheets/d/1XL5vhW3sbDhbH9Cz0tuDiY8C3ctxq1tqvaCgkFb8cCA/edit?usp=sharing"",""เลย!M450"")"),193265.82)</f>
        <v>193265.82</v>
      </c>
      <c r="O555" s="169">
        <f t="shared" ca="1" si="120"/>
        <v>62.343812903225803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IFERROR(__xludf.DUMMYFUNCTION("IMPORTRANGE(""https://docs.google.com/spreadsheets/d/1XL5vhW3sbDhbH9Cz0tuDiY8C3ctxq1tqvaCgkFb8cCA/edit?usp=sharing"",""เลย!M451"")"),0)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IFERROR(__xludf.DUMMYFUNCTION("IMPORTRANGE(""https://docs.google.com/spreadsheets/d/1XL5vhW3sbDhbH9Cz0tuDiY8C3ctxq1tqvaCgkFb8cCA/edit?usp=sharing"",""เลย!M452"")"),0)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IFERROR(__xludf.DUMMYFUNCTION("IMPORTRANGE(""https://docs.google.com/spreadsheets/d/1XL5vhW3sbDhbH9Cz0tuDiY8C3ctxq1tqvaCgkFb8cCA/edit?usp=sharing"",""เลย!M453"")"),45341)</f>
        <v>45341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IFERROR(__xludf.DUMMYFUNCTION("IMPORTRANGE(""https://docs.google.com/spreadsheets/d/1XL5vhW3sbDhbH9Cz0tuDiY8C3ctxq1tqvaCgkFb8cCA/edit?usp=sharing"",""เลย!M454"")"),147924.82)</f>
        <v>147924.82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IFERROR(__xludf.DUMMYFUNCTION("IMPORTRANGE(""https://docs.google.com/spreadsheets/d/1XL5vhW3sbDhbH9Cz0tuDiY8C3ctxq1tqvaCgkFb8cCA/edit?usp=sharing"",""เลย!I455"")"),5000)</f>
        <v>5000</v>
      </c>
      <c r="J560" s="162">
        <f ca="1">IFERROR(__xludf.DUMMYFUNCTION("IMPORTRANGE(""https://docs.google.com/spreadsheets/d/1XL5vhW3sbDhbH9Cz0tuDiY8C3ctxq1tqvaCgkFb8cCA/edit?usp=sharing"",""เลย!J455"")"),2056)</f>
        <v>2056</v>
      </c>
      <c r="K560" s="224">
        <f t="shared" ref="K560:K561" ca="1" si="121">IF(I560&gt;0,J560*100/I560,0)</f>
        <v>41.12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IFERROR(__xludf.DUMMYFUNCTION("IMPORTRANGE(""https://docs.google.com/spreadsheets/d/1XL5vhW3sbDhbH9Cz0tuDiY8C3ctxq1tqvaCgkFb8cCA/edit?usp=sharing"",""เลย!I456"")"),0)</f>
        <v>0</v>
      </c>
      <c r="J561" s="204">
        <f ca="1">IFERROR(__xludf.DUMMYFUNCTION("IMPORTRANGE(""https://docs.google.com/spreadsheets/d/1XL5vhW3sbDhbH9Cz0tuDiY8C3ctxq1tqvaCgkFb8cCA/edit?usp=sharing"",""เลย!J456"")"),145)</f>
        <v>145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IFERROR(__xludf.DUMMYFUNCTION("IMPORTRANGE(""https://docs.google.com/spreadsheets/d/1XL5vhW3sbDhbH9Cz0tuDiY8C3ctxq1tqvaCgkFb8cCA/edit?usp=sharing"",""เลย!I459"")"),3400)</f>
        <v>3400</v>
      </c>
      <c r="J564" s="371">
        <f ca="1">IFERROR(__xludf.DUMMYFUNCTION("IMPORTRANGE(""https://docs.google.com/spreadsheets/d/1XL5vhW3sbDhbH9Cz0tuDiY8C3ctxq1tqvaCgkFb8cCA/edit?usp=sharing"",""เลย!J459"")"),3505)</f>
        <v>3505</v>
      </c>
      <c r="K564" s="372">
        <f ca="1">IF(I564&gt;0,J564*100/I564,0)</f>
        <v>103.08823529411765</v>
      </c>
      <c r="L564" s="373">
        <f ca="1">IFERROR(__xludf.DUMMYFUNCTION("IMPORTRANGE(""https://docs.google.com/spreadsheets/d/1XL5vhW3sbDhbH9Cz0tuDiY8C3ctxq1tqvaCgkFb8cCA/edit?usp=sharing"",""เลย!L459"")"),164800)</f>
        <v>164800</v>
      </c>
      <c r="M564" s="373"/>
      <c r="N564" s="373">
        <f ca="1">IFERROR(__xludf.DUMMYFUNCTION("IMPORTRANGE(""https://docs.google.com/spreadsheets/d/1XL5vhW3sbDhbH9Cz0tuDiY8C3ctxq1tqvaCgkFb8cCA/edit?usp=sharing"",""เลย!M459"")"),83038)</f>
        <v>83038</v>
      </c>
      <c r="O564" s="373">
        <f t="shared" ref="O564:O568" ca="1" si="122">+IF(L564&gt;0,N564*100/L564,0)</f>
        <v>50.387135922330096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IFERROR(__xludf.DUMMYFUNCTION("IMPORTRANGE(""https://docs.google.com/spreadsheets/d/1XL5vhW3sbDhbH9Cz0tuDiY8C3ctxq1tqvaCgkFb8cCA/edit?usp=sharing"",""เลย!L460"")"),0)</f>
        <v>0</v>
      </c>
      <c r="M565" s="164"/>
      <c r="N565" s="169">
        <f ca="1">IFERROR(__xludf.DUMMYFUNCTION("IMPORTRANGE(""https://docs.google.com/spreadsheets/d/1XL5vhW3sbDhbH9Cz0tuDiY8C3ctxq1tqvaCgkFb8cCA/edit?usp=sharing"",""เลย!M460"")"),0)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IFERROR(__xludf.DUMMYFUNCTION("IMPORTRANGE(""https://docs.google.com/spreadsheets/d/1XL5vhW3sbDhbH9Cz0tuDiY8C3ctxq1tqvaCgkFb8cCA/edit?usp=sharing"",""เลย!L461"")"),164800)</f>
        <v>164800</v>
      </c>
      <c r="M566" s="165"/>
      <c r="N566" s="169">
        <f ca="1">IFERROR(__xludf.DUMMYFUNCTION("IMPORTRANGE(""https://docs.google.com/spreadsheets/d/1XL5vhW3sbDhbH9Cz0tuDiY8C3ctxq1tqvaCgkFb8cCA/edit?usp=sharing"",""เลย!M461"")"),83038)</f>
        <v>83038</v>
      </c>
      <c r="O566" s="169">
        <f t="shared" ca="1" si="122"/>
        <v>50.387135922330096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IFERROR(__xludf.DUMMYFUNCTION("IMPORTRANGE(""https://docs.google.com/spreadsheets/d/1XL5vhW3sbDhbH9Cz0tuDiY8C3ctxq1tqvaCgkFb8cCA/edit?usp=sharing"",""เลย!L462"")"),0)</f>
        <v>0</v>
      </c>
      <c r="M567" s="169"/>
      <c r="N567" s="169">
        <f ca="1">IFERROR(__xludf.DUMMYFUNCTION("IMPORTRANGE(""https://docs.google.com/spreadsheets/d/1XL5vhW3sbDhbH9Cz0tuDiY8C3ctxq1tqvaCgkFb8cCA/edit?usp=sharing"",""เลย!M462"")"),0)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IFERROR(__xludf.DUMMYFUNCTION("IMPORTRANGE(""https://docs.google.com/spreadsheets/d/1XL5vhW3sbDhbH9Cz0tuDiY8C3ctxq1tqvaCgkFb8cCA/edit?usp=sharing"",""เลย!L463"")"),164800)</f>
        <v>164800</v>
      </c>
      <c r="M568" s="169"/>
      <c r="N568" s="169">
        <f ca="1">IFERROR(__xludf.DUMMYFUNCTION("IMPORTRANGE(""https://docs.google.com/spreadsheets/d/1XL5vhW3sbDhbH9Cz0tuDiY8C3ctxq1tqvaCgkFb8cCA/edit?usp=sharing"",""เลย!M463"")"),83038)</f>
        <v>83038</v>
      </c>
      <c r="O568" s="169">
        <f t="shared" ca="1" si="122"/>
        <v>50.387135922330096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IFERROR(__xludf.DUMMYFUNCTION("IMPORTRANGE(""https://docs.google.com/spreadsheets/d/1XL5vhW3sbDhbH9Cz0tuDiY8C3ctxq1tqvaCgkFb8cCA/edit?usp=sharing"",""เลย!M464"")"),0)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IFERROR(__xludf.DUMMYFUNCTION("IMPORTRANGE(""https://docs.google.com/spreadsheets/d/1XL5vhW3sbDhbH9Cz0tuDiY8C3ctxq1tqvaCgkFb8cCA/edit?usp=sharing"",""เลย!M465"")"),0)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IFERROR(__xludf.DUMMYFUNCTION("IMPORTRANGE(""https://docs.google.com/spreadsheets/d/1XL5vhW3sbDhbH9Cz0tuDiY8C3ctxq1tqvaCgkFb8cCA/edit?usp=sharing"",""เลย!M466"")"),55000)</f>
        <v>55000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IFERROR(__xludf.DUMMYFUNCTION("IMPORTRANGE(""https://docs.google.com/spreadsheets/d/1XL5vhW3sbDhbH9Cz0tuDiY8C3ctxq1tqvaCgkFb8cCA/edit?usp=sharing"",""เลย!M467"")"),28038)</f>
        <v>28038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IFERROR(__xludf.DUMMYFUNCTION("IMPORTRANGE(""https://docs.google.com/spreadsheets/d/1XL5vhW3sbDhbH9Cz0tuDiY8C3ctxq1tqvaCgkFb8cCA/edit?usp=sharing"",""เลย!I468"")"),3400)</f>
        <v>3400</v>
      </c>
      <c r="J573" s="420">
        <f ca="1">IFERROR(__xludf.DUMMYFUNCTION("IMPORTRANGE(""https://docs.google.com/spreadsheets/d/1XL5vhW3sbDhbH9Cz0tuDiY8C3ctxq1tqvaCgkFb8cCA/edit?usp=sharing"",""เลย!J468"")"),3505)</f>
        <v>3505</v>
      </c>
      <c r="K573" s="202">
        <f ca="1">IF(I573&gt;0,J573*100/I573,0)</f>
        <v>103.08823529411765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IFERROR(__xludf.DUMMYFUNCTION("IMPORTRANGE(""https://docs.google.com/spreadsheets/d/1XL5vhW3sbDhbH9Cz0tuDiY8C3ctxq1tqvaCgkFb8cCA/edit?usp=sharing"",""เลย!I470"")"),0)</f>
        <v>0</v>
      </c>
      <c r="J575" s="198">
        <f ca="1">IFERROR(__xludf.DUMMYFUNCTION("IMPORTRANGE(""https://docs.google.com/spreadsheets/d/1XL5vhW3sbDhbH9Cz0tuDiY8C3ctxq1tqvaCgkFb8cCA/edit?usp=sharing"",""เลย!J470"")"),7)</f>
        <v>7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IFERROR(__xludf.DUMMYFUNCTION("IMPORTRANGE(""https://docs.google.com/spreadsheets/d/1XL5vhW3sbDhbH9Cz0tuDiY8C3ctxq1tqvaCgkFb8cCA/edit?usp=sharing"",""เลย!I471"")"),0)</f>
        <v>0</v>
      </c>
      <c r="J576" s="198">
        <f ca="1">IFERROR(__xludf.DUMMYFUNCTION("IMPORTRANGE(""https://docs.google.com/spreadsheets/d/1XL5vhW3sbDhbH9Cz0tuDiY8C3ctxq1tqvaCgkFb8cCA/edit?usp=sharing"",""เลย!J471"")"),556)</f>
        <v>556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IFERROR(__xludf.DUMMYFUNCTION("IMPORTRANGE(""https://docs.google.com/spreadsheets/d/1XL5vhW3sbDhbH9Cz0tuDiY8C3ctxq1tqvaCgkFb8cCA/edit?usp=sharing"",""เลย!I472"")"),0)</f>
        <v>0</v>
      </c>
      <c r="J577" s="189">
        <f ca="1">IFERROR(__xludf.DUMMYFUNCTION("IMPORTRANGE(""https://docs.google.com/spreadsheets/d/1XL5vhW3sbDhbH9Cz0tuDiY8C3ctxq1tqvaCgkFb8cCA/edit?usp=sharing"",""เลย!J472"")"),2857)</f>
        <v>2857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IFERROR(__xludf.DUMMYFUNCTION("IMPORTRANGE(""https://docs.google.com/spreadsheets/d/1XL5vhW3sbDhbH9Cz0tuDiY8C3ctxq1tqvaCgkFb8cCA/edit?usp=sharing"",""เลย!I473"")"),0)</f>
        <v>0</v>
      </c>
      <c r="J578" s="198">
        <f ca="1">IFERROR(__xludf.DUMMYFUNCTION("IMPORTRANGE(""https://docs.google.com/spreadsheets/d/1XL5vhW3sbDhbH9Cz0tuDiY8C3ctxq1tqvaCgkFb8cCA/edit?usp=sharing"",""เลย!J473"")"),1)</f>
        <v>1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IFERROR(__xludf.DUMMYFUNCTION("IMPORTRANGE(""https://docs.google.com/spreadsheets/d/1XL5vhW3sbDhbH9Cz0tuDiY8C3ctxq1tqvaCgkFb8cCA/edit?usp=sharing"",""เลย!I474"")"),0)</f>
        <v>0</v>
      </c>
      <c r="J579" s="198">
        <f ca="1">IFERROR(__xludf.DUMMYFUNCTION("IMPORTRANGE(""https://docs.google.com/spreadsheets/d/1XL5vhW3sbDhbH9Cz0tuDiY8C3ctxq1tqvaCgkFb8cCA/edit?usp=sharing"",""เลย!J474"")"),91)</f>
        <v>91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IFERROR(__xludf.DUMMYFUNCTION("IMPORTRANGE(""https://docs.google.com/spreadsheets/d/1XL5vhW3sbDhbH9Cz0tuDiY8C3ctxq1tqvaCgkFb8cCA/edit?usp=sharing"",""เลย!I475"")"),60)</f>
        <v>60</v>
      </c>
      <c r="J580" s="371">
        <f ca="1">IFERROR(__xludf.DUMMYFUNCTION("IMPORTRANGE(""https://docs.google.com/spreadsheets/d/1XL5vhW3sbDhbH9Cz0tuDiY8C3ctxq1tqvaCgkFb8cCA/edit?usp=sharing"",""เลย!J475"")"),0)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IFERROR(__xludf.DUMMYFUNCTION("IMPORTRANGE(""https://docs.google.com/spreadsheets/d/1XL5vhW3sbDhbH9Cz0tuDiY8C3ctxq1tqvaCgkFb8cCA/edit?usp=sharing"",""เลย!L475"")"),257660)</f>
        <v>257660</v>
      </c>
      <c r="M580" s="373"/>
      <c r="N580" s="373">
        <f ca="1">IFERROR(__xludf.DUMMYFUNCTION("IMPORTRANGE(""https://docs.google.com/spreadsheets/d/1XL5vhW3sbDhbH9Cz0tuDiY8C3ctxq1tqvaCgkFb8cCA/edit?usp=sharing"",""เลย!M475"")"),38669.54)</f>
        <v>38669.54</v>
      </c>
      <c r="O580" s="373">
        <f t="shared" ref="O580:O584" ca="1" si="124">+IF(L580&gt;0,N580*100/L580,0)</f>
        <v>15.007971745711403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IFERROR(__xludf.DUMMYFUNCTION("IMPORTRANGE(""https://docs.google.com/spreadsheets/d/1XL5vhW3sbDhbH9Cz0tuDiY8C3ctxq1tqvaCgkFb8cCA/edit?usp=sharing"",""เลย!L476"")"),0)</f>
        <v>0</v>
      </c>
      <c r="M581" s="164"/>
      <c r="N581" s="169">
        <f ca="1">IFERROR(__xludf.DUMMYFUNCTION("IMPORTRANGE(""https://docs.google.com/spreadsheets/d/1XL5vhW3sbDhbH9Cz0tuDiY8C3ctxq1tqvaCgkFb8cCA/edit?usp=sharing"",""เลย!M476"")"),0)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IFERROR(__xludf.DUMMYFUNCTION("IMPORTRANGE(""https://docs.google.com/spreadsheets/d/1XL5vhW3sbDhbH9Cz0tuDiY8C3ctxq1tqvaCgkFb8cCA/edit?usp=sharing"",""เลย!L477"")"),257660)</f>
        <v>257660</v>
      </c>
      <c r="M582" s="165"/>
      <c r="N582" s="169">
        <f ca="1">IFERROR(__xludf.DUMMYFUNCTION("IMPORTRANGE(""https://docs.google.com/spreadsheets/d/1XL5vhW3sbDhbH9Cz0tuDiY8C3ctxq1tqvaCgkFb8cCA/edit?usp=sharing"",""เลย!M477"")"),38669.54)</f>
        <v>38669.54</v>
      </c>
      <c r="O582" s="169">
        <f t="shared" ca="1" si="124"/>
        <v>15.007971745711403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IFERROR(__xludf.DUMMYFUNCTION("IMPORTRANGE(""https://docs.google.com/spreadsheets/d/1XL5vhW3sbDhbH9Cz0tuDiY8C3ctxq1tqvaCgkFb8cCA/edit?usp=sharing"",""เลย!L478"")"),0)</f>
        <v>0</v>
      </c>
      <c r="M583" s="169"/>
      <c r="N583" s="169">
        <f ca="1">IFERROR(__xludf.DUMMYFUNCTION("IMPORTRANGE(""https://docs.google.com/spreadsheets/d/1XL5vhW3sbDhbH9Cz0tuDiY8C3ctxq1tqvaCgkFb8cCA/edit?usp=sharing"",""เลย!M478"")"),0)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IFERROR(__xludf.DUMMYFUNCTION("IMPORTRANGE(""https://docs.google.com/spreadsheets/d/1XL5vhW3sbDhbH9Cz0tuDiY8C3ctxq1tqvaCgkFb8cCA/edit?usp=sharing"",""เลย!L479"")"),257660)</f>
        <v>257660</v>
      </c>
      <c r="M584" s="169"/>
      <c r="N584" s="169">
        <f ca="1">IFERROR(__xludf.DUMMYFUNCTION("IMPORTRANGE(""https://docs.google.com/spreadsheets/d/1XL5vhW3sbDhbH9Cz0tuDiY8C3ctxq1tqvaCgkFb8cCA/edit?usp=sharing"",""เลย!M479"")"),38669.54)</f>
        <v>38669.54</v>
      </c>
      <c r="O584" s="169">
        <f t="shared" ca="1" si="124"/>
        <v>15.007971745711403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IFERROR(__xludf.DUMMYFUNCTION("IMPORTRANGE(""https://docs.google.com/spreadsheets/d/1XL5vhW3sbDhbH9Cz0tuDiY8C3ctxq1tqvaCgkFb8cCA/edit?usp=sharing"",""เลย!M480"")"),0)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IFERROR(__xludf.DUMMYFUNCTION("IMPORTRANGE(""https://docs.google.com/spreadsheets/d/1XL5vhW3sbDhbH9Cz0tuDiY8C3ctxq1tqvaCgkFb8cCA/edit?usp=sharing"",""เลย!M481"")"),0)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IFERROR(__xludf.DUMMYFUNCTION("IMPORTRANGE(""https://docs.google.com/spreadsheets/d/1XL5vhW3sbDhbH9Cz0tuDiY8C3ctxq1tqvaCgkFb8cCA/edit?usp=sharing"",""เลย!M482"")"),18707)</f>
        <v>18707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IFERROR(__xludf.DUMMYFUNCTION("IMPORTRANGE(""https://docs.google.com/spreadsheets/d/1XL5vhW3sbDhbH9Cz0tuDiY8C3ctxq1tqvaCgkFb8cCA/edit?usp=sharing"",""เลย!M483"")"),19962.54)</f>
        <v>19962.54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IFERROR(__xludf.DUMMYFUNCTION("IMPORTRANGE(""https://docs.google.com/spreadsheets/d/1XL5vhW3sbDhbH9Cz0tuDiY8C3ctxq1tqvaCgkFb8cCA/edit?usp=sharing"",""เลย!I484"")"),60)</f>
        <v>60</v>
      </c>
      <c r="J589" s="188">
        <f ca="1">IFERROR(__xludf.DUMMYFUNCTION("IMPORTRANGE(""https://docs.google.com/spreadsheets/d/1XL5vhW3sbDhbH9Cz0tuDiY8C3ctxq1tqvaCgkFb8cCA/edit?usp=sharing"",""เลย!J484"")"),4)</f>
        <v>4</v>
      </c>
      <c r="K589" s="163">
        <f t="shared" ref="K589:K596" ca="1" si="125">IF(I589&gt;0,J589*100/I589,0)</f>
        <v>6.666666666666667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IFERROR(__xludf.DUMMYFUNCTION("IMPORTRANGE(""https://docs.google.com/spreadsheets/d/1XL5vhW3sbDhbH9Cz0tuDiY8C3ctxq1tqvaCgkFb8cCA/edit?usp=sharing"",""เลย!I485"")"),0)</f>
        <v>0</v>
      </c>
      <c r="J590" s="188">
        <f ca="1">IFERROR(__xludf.DUMMYFUNCTION("IMPORTRANGE(""https://docs.google.com/spreadsheets/d/1XL5vhW3sbDhbH9Cz0tuDiY8C3ctxq1tqvaCgkFb8cCA/edit?usp=sharing"",""เลย!J485"")"),1.83)</f>
        <v>1.83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IFERROR(__xludf.DUMMYFUNCTION("IMPORTRANGE(""https://docs.google.com/spreadsheets/d/1XL5vhW3sbDhbH9Cz0tuDiY8C3ctxq1tqvaCgkFb8cCA/edit?usp=sharing"",""เลย!I486"")"),60)</f>
        <v>60</v>
      </c>
      <c r="J591" s="188">
        <f ca="1">IFERROR(__xludf.DUMMYFUNCTION("IMPORTRANGE(""https://docs.google.com/spreadsheets/d/1XL5vhW3sbDhbH9Cz0tuDiY8C3ctxq1tqvaCgkFb8cCA/edit?usp=sharing"",""เลย!J486"")"),15)</f>
        <v>15</v>
      </c>
      <c r="K591" s="163">
        <f t="shared" ca="1" si="125"/>
        <v>25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IFERROR(__xludf.DUMMYFUNCTION("IMPORTRANGE(""https://docs.google.com/spreadsheets/d/1XL5vhW3sbDhbH9Cz0tuDiY8C3ctxq1tqvaCgkFb8cCA/edit?usp=sharing"",""เลย!I487"")"),0)</f>
        <v>0</v>
      </c>
      <c r="J592" s="188">
        <f ca="1">IFERROR(__xludf.DUMMYFUNCTION("IMPORTRANGE(""https://docs.google.com/spreadsheets/d/1XL5vhW3sbDhbH9Cz0tuDiY8C3ctxq1tqvaCgkFb8cCA/edit?usp=sharing"",""เลย!J487"")"),12.49)</f>
        <v>12.49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IFERROR(__xludf.DUMMYFUNCTION("IMPORTRANGE(""https://docs.google.com/spreadsheets/d/1XL5vhW3sbDhbH9Cz0tuDiY8C3ctxq1tqvaCgkFb8cCA/edit?usp=sharing"",""เลย!I488"")"),60)</f>
        <v>60</v>
      </c>
      <c r="J593" s="188">
        <f ca="1">IFERROR(__xludf.DUMMYFUNCTION("IMPORTRANGE(""https://docs.google.com/spreadsheets/d/1XL5vhW3sbDhbH9Cz0tuDiY8C3ctxq1tqvaCgkFb8cCA/edit?usp=sharing"",""เลย!J488"")"),0)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IFERROR(__xludf.DUMMYFUNCTION("IMPORTRANGE(""https://docs.google.com/spreadsheets/d/1XL5vhW3sbDhbH9Cz0tuDiY8C3ctxq1tqvaCgkFb8cCA/edit?usp=sharing"",""เลย!I489"")"),0)</f>
        <v>0</v>
      </c>
      <c r="J594" s="188">
        <f ca="1">IFERROR(__xludf.DUMMYFUNCTION("IMPORTRANGE(""https://docs.google.com/spreadsheets/d/1XL5vhW3sbDhbH9Cz0tuDiY8C3ctxq1tqvaCgkFb8cCA/edit?usp=sharing"",""เลย!J489"")"),0)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IFERROR(__xludf.DUMMYFUNCTION("IMPORTRANGE(""https://docs.google.com/spreadsheets/d/1XL5vhW3sbDhbH9Cz0tuDiY8C3ctxq1tqvaCgkFb8cCA/edit?usp=sharing"",""เลย!I490"")"),60)</f>
        <v>60</v>
      </c>
      <c r="J595" s="188">
        <f ca="1">IFERROR(__xludf.DUMMYFUNCTION("IMPORTRANGE(""https://docs.google.com/spreadsheets/d/1XL5vhW3sbDhbH9Cz0tuDiY8C3ctxq1tqvaCgkFb8cCA/edit?usp=sharing"",""เลย!J490"")"),0)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IFERROR(__xludf.DUMMYFUNCTION("IMPORTRANGE(""https://docs.google.com/spreadsheets/d/1XL5vhW3sbDhbH9Cz0tuDiY8C3ctxq1tqvaCgkFb8cCA/edit?usp=sharing"",""เลย!I491"")"),0)</f>
        <v>0</v>
      </c>
      <c r="J596" s="241">
        <f ca="1">IFERROR(__xludf.DUMMYFUNCTION("IMPORTRANGE(""https://docs.google.com/spreadsheets/d/1XL5vhW3sbDhbH9Cz0tuDiY8C3ctxq1tqvaCgkFb8cCA/edit?usp=sharing"",""เลย!J491"")"),0)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IFERROR(__xludf.DUMMYFUNCTION("IMPORTRANGE(""https://docs.google.com/spreadsheets/d/1XL5vhW3sbDhbH9Cz0tuDiY8C3ctxq1tqvaCgkFb8cCA/edit?usp=sharing"",""เลย!I492"")"),120)</f>
        <v>120</v>
      </c>
      <c r="J597" s="487">
        <f ca="1">IFERROR(__xludf.DUMMYFUNCTION("IMPORTRANGE(""https://docs.google.com/spreadsheets/d/1XL5vhW3sbDhbH9Cz0tuDiY8C3ctxq1tqvaCgkFb8cCA/edit?usp=sharing"",""เลย!J492"")"),0)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IFERROR(__xludf.DUMMYFUNCTION("IMPORTRANGE(""https://docs.google.com/spreadsheets/d/1XL5vhW3sbDhbH9Cz0tuDiY8C3ctxq1tqvaCgkFb8cCA/edit?usp=sharing"",""เลย!L492"")"),8400)</f>
        <v>8400</v>
      </c>
      <c r="M597" s="412"/>
      <c r="N597" s="412">
        <f ca="1">IFERROR(__xludf.DUMMYFUNCTION("IMPORTRANGE(""https://docs.google.com/spreadsheets/d/1XL5vhW3sbDhbH9Cz0tuDiY8C3ctxq1tqvaCgkFb8cCA/edit?usp=sharing"",""เลย!M492"")"),300)</f>
        <v>300</v>
      </c>
      <c r="O597" s="412">
        <f t="shared" ref="O597:O601" ca="1" si="126">+IF(L597&gt;0,N597*100/L597,0)</f>
        <v>3.5714285714285716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IFERROR(__xludf.DUMMYFUNCTION("IMPORTRANGE(""https://docs.google.com/spreadsheets/d/1XL5vhW3sbDhbH9Cz0tuDiY8C3ctxq1tqvaCgkFb8cCA/edit?usp=sharing"",""เลย!L493"")"),0)</f>
        <v>0</v>
      </c>
      <c r="M598" s="164"/>
      <c r="N598" s="169">
        <f ca="1">IFERROR(__xludf.DUMMYFUNCTION("IMPORTRANGE(""https://docs.google.com/spreadsheets/d/1XL5vhW3sbDhbH9Cz0tuDiY8C3ctxq1tqvaCgkFb8cCA/edit?usp=sharing"",""เลย!M493"")"),0)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IFERROR(__xludf.DUMMYFUNCTION("IMPORTRANGE(""https://docs.google.com/spreadsheets/d/1XL5vhW3sbDhbH9Cz0tuDiY8C3ctxq1tqvaCgkFb8cCA/edit?usp=sharing"",""เลย!L494"")"),8400)</f>
        <v>8400</v>
      </c>
      <c r="M599" s="165"/>
      <c r="N599" s="169">
        <f ca="1">IFERROR(__xludf.DUMMYFUNCTION("IMPORTRANGE(""https://docs.google.com/spreadsheets/d/1XL5vhW3sbDhbH9Cz0tuDiY8C3ctxq1tqvaCgkFb8cCA/edit?usp=sharing"",""เลย!M494"")"),300)</f>
        <v>300</v>
      </c>
      <c r="O599" s="169">
        <f t="shared" ca="1" si="126"/>
        <v>3.5714285714285716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IFERROR(__xludf.DUMMYFUNCTION("IMPORTRANGE(""https://docs.google.com/spreadsheets/d/1XL5vhW3sbDhbH9Cz0tuDiY8C3ctxq1tqvaCgkFb8cCA/edit?usp=sharing"",""เลย!L495"")"),0)</f>
        <v>0</v>
      </c>
      <c r="M600" s="169"/>
      <c r="N600" s="169">
        <f ca="1">IFERROR(__xludf.DUMMYFUNCTION("IMPORTRANGE(""https://docs.google.com/spreadsheets/d/1XL5vhW3sbDhbH9Cz0tuDiY8C3ctxq1tqvaCgkFb8cCA/edit?usp=sharing"",""เลย!M495"")"),0)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IFERROR(__xludf.DUMMYFUNCTION("IMPORTRANGE(""https://docs.google.com/spreadsheets/d/1XL5vhW3sbDhbH9Cz0tuDiY8C3ctxq1tqvaCgkFb8cCA/edit?usp=sharing"",""เลย!L496"")"),8400)</f>
        <v>8400</v>
      </c>
      <c r="M601" s="169"/>
      <c r="N601" s="169">
        <f ca="1">IFERROR(__xludf.DUMMYFUNCTION("IMPORTRANGE(""https://docs.google.com/spreadsheets/d/1XL5vhW3sbDhbH9Cz0tuDiY8C3ctxq1tqvaCgkFb8cCA/edit?usp=sharing"",""เลย!M496"")"),300)</f>
        <v>300</v>
      </c>
      <c r="O601" s="169">
        <f t="shared" ca="1" si="126"/>
        <v>3.5714285714285716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IFERROR(__xludf.DUMMYFUNCTION("IMPORTRANGE(""https://docs.google.com/spreadsheets/d/1XL5vhW3sbDhbH9Cz0tuDiY8C3ctxq1tqvaCgkFb8cCA/edit?usp=sharing"",""เลย!M497"")"),0)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IFERROR(__xludf.DUMMYFUNCTION("IMPORTRANGE(""https://docs.google.com/spreadsheets/d/1XL5vhW3sbDhbH9Cz0tuDiY8C3ctxq1tqvaCgkFb8cCA/edit?usp=sharing"",""เลย!M498"")"),0)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IFERROR(__xludf.DUMMYFUNCTION("IMPORTRANGE(""https://docs.google.com/spreadsheets/d/1XL5vhW3sbDhbH9Cz0tuDiY8C3ctxq1tqvaCgkFb8cCA/edit?usp=sharing"",""เลย!M499"")"),0)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IFERROR(__xludf.DUMMYFUNCTION("IMPORTRANGE(""https://docs.google.com/spreadsheets/d/1XL5vhW3sbDhbH9Cz0tuDiY8C3ctxq1tqvaCgkFb8cCA/edit?usp=sharing"",""เลย!M500"")"),300)</f>
        <v>300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IFERROR(__xludf.DUMMYFUNCTION("IMPORTRANGE(""https://docs.google.com/spreadsheets/d/1XL5vhW3sbDhbH9Cz0tuDiY8C3ctxq1tqvaCgkFb8cCA/edit?usp=sharing"",""เลย!J502"")"),0)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IFERROR(__xludf.DUMMYFUNCTION("IMPORTRANGE(""https://docs.google.com/spreadsheets/d/1XL5vhW3sbDhbH9Cz0tuDiY8C3ctxq1tqvaCgkFb8cCA/edit?usp=sharing"",""เลย!J503"")"),1)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539"/>
      <c r="B609" s="540"/>
      <c r="C609" s="540"/>
      <c r="D609" s="541"/>
      <c r="E609" s="542" t="s">
        <v>46</v>
      </c>
      <c r="F609" s="543"/>
      <c r="G609" s="544"/>
      <c r="H609" s="545"/>
      <c r="I609" s="546"/>
      <c r="J609" s="546">
        <f ca="1">IFERROR(__xludf.DUMMYFUNCTION("IMPORTRANGE(""https://docs.google.com/spreadsheets/d/1XL5vhW3sbDhbH9Cz0tuDiY8C3ctxq1tqvaCgkFb8cCA/edit?usp=sharing"",""เลย!J166"")"),0)</f>
        <v>0</v>
      </c>
      <c r="K609" s="547"/>
      <c r="L609" s="548"/>
      <c r="M609" s="548"/>
      <c r="N609" s="548"/>
      <c r="O609" s="548"/>
      <c r="P609" s="548"/>
    </row>
    <row r="610" spans="1:16" ht="21.75" hidden="1" customHeight="1" x14ac:dyDescent="0.35">
      <c r="A610" s="539"/>
      <c r="B610" s="540"/>
      <c r="C610" s="540"/>
      <c r="D610" s="541"/>
      <c r="E610" s="542" t="s">
        <v>47</v>
      </c>
      <c r="F610" s="543"/>
      <c r="G610" s="544"/>
      <c r="H610" s="545"/>
      <c r="I610" s="546"/>
      <c r="J610" s="546">
        <f ca="1">IFERROR(__xludf.DUMMYFUNCTION("IMPORTRANGE(""https://docs.google.com/spreadsheets/d/1XL5vhW3sbDhbH9Cz0tuDiY8C3ctxq1tqvaCgkFb8cCA/edit?usp=sharing"",""เลย!J166"")"),0)</f>
        <v>0</v>
      </c>
      <c r="K610" s="547"/>
      <c r="L610" s="548"/>
      <c r="M610" s="548"/>
      <c r="N610" s="548"/>
      <c r="O610" s="548"/>
      <c r="P610" s="548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IFERROR(__xludf.DUMMYFUNCTION("IMPORTRANGE(""https://docs.google.com/spreadsheets/d/1XL5vhW3sbDhbH9Cz0tuDiY8C3ctxq1tqvaCgkFb8cCA/edit?usp=sharing"",""เลย!I506"")"),120)</f>
        <v>120</v>
      </c>
      <c r="J611" s="162">
        <f ca="1">IFERROR(__xludf.DUMMYFUNCTION("IMPORTRANGE(""https://docs.google.com/spreadsheets/d/1XL5vhW3sbDhbH9Cz0tuDiY8C3ctxq1tqvaCgkFb8cCA/edit?usp=sharing"",""เลย!J506"")"),0)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IFERROR(__xludf.DUMMYFUNCTION("IMPORTRANGE(""https://docs.google.com/spreadsheets/d/1XL5vhW3sbDhbH9Cz0tuDiY8C3ctxq1tqvaCgkFb8cCA/edit?usp=sharing"",""เลย!I507"")"),0)</f>
        <v>0</v>
      </c>
      <c r="J612" s="198">
        <f ca="1">IFERROR(__xludf.DUMMYFUNCTION("IMPORTRANGE(""https://docs.google.com/spreadsheets/d/1XL5vhW3sbDhbH9Cz0tuDiY8C3ctxq1tqvaCgkFb8cCA/edit?usp=sharing"",""เลย!J507"")"),100)</f>
        <v>100</v>
      </c>
      <c r="K612" s="163">
        <f t="shared" ca="1" si="127"/>
        <v>83.333333333333329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IFERROR(__xludf.DUMMYFUNCTION("IMPORTRANGE(""https://docs.google.com/spreadsheets/d/1XL5vhW3sbDhbH9Cz0tuDiY8C3ctxq1tqvaCgkFb8cCA/edit?usp=sharing"",""เลย!I508"")"),0)</f>
        <v>0</v>
      </c>
      <c r="J613" s="198">
        <f ca="1">IFERROR(__xludf.DUMMYFUNCTION("IMPORTRANGE(""https://docs.google.com/spreadsheets/d/1XL5vhW3sbDhbH9Cz0tuDiY8C3ctxq1tqvaCgkFb8cCA/edit?usp=sharing"",""เลย!J508"")"),100)</f>
        <v>100</v>
      </c>
      <c r="K613" s="163">
        <f t="shared" ca="1" si="127"/>
        <v>83.333333333333329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IFERROR(__xludf.DUMMYFUNCTION("IMPORTRANGE(""https://docs.google.com/spreadsheets/d/1XL5vhW3sbDhbH9Cz0tuDiY8C3ctxq1tqvaCgkFb8cCA/edit?usp=sharing"",""เลย!I509"")"),0)</f>
        <v>0</v>
      </c>
      <c r="J614" s="198">
        <f ca="1">IFERROR(__xludf.DUMMYFUNCTION("IMPORTRANGE(""https://docs.google.com/spreadsheets/d/1XL5vhW3sbDhbH9Cz0tuDiY8C3ctxq1tqvaCgkFb8cCA/edit?usp=sharing"",""เลย!J509"")"),100)</f>
        <v>100</v>
      </c>
      <c r="K614" s="163">
        <f t="shared" ca="1" si="127"/>
        <v>83.333333333333329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IFERROR(__xludf.DUMMYFUNCTION("IMPORTRANGE(""https://docs.google.com/spreadsheets/d/1XL5vhW3sbDhbH9Cz0tuDiY8C3ctxq1tqvaCgkFb8cCA/edit?usp=sharing"",""เลย!I510"")"),0)</f>
        <v>0</v>
      </c>
      <c r="J615" s="198">
        <f ca="1">IFERROR(__xludf.DUMMYFUNCTION("IMPORTRANGE(""https://docs.google.com/spreadsheets/d/1XL5vhW3sbDhbH9Cz0tuDiY8C3ctxq1tqvaCgkFb8cCA/edit?usp=sharing"",""เลย!J510"")"),100)</f>
        <v>100</v>
      </c>
      <c r="K615" s="163">
        <f t="shared" ca="1" si="127"/>
        <v>83.333333333333329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IFERROR(__xludf.DUMMYFUNCTION("IMPORTRANGE(""https://docs.google.com/spreadsheets/d/1XL5vhW3sbDhbH9Cz0tuDiY8C3ctxq1tqvaCgkFb8cCA/edit?usp=sharing"",""เลย!I511"")"),0)</f>
        <v>0</v>
      </c>
      <c r="J616" s="198">
        <f ca="1">IFERROR(__xludf.DUMMYFUNCTION("IMPORTRANGE(""https://docs.google.com/spreadsheets/d/1XL5vhW3sbDhbH9Cz0tuDiY8C3ctxq1tqvaCgkFb8cCA/edit?usp=sharing"",""เลย!J511"")"),0)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IFERROR(__xludf.DUMMYFUNCTION("IMPORTRANGE(""https://docs.google.com/spreadsheets/d/1XL5vhW3sbDhbH9Cz0tuDiY8C3ctxq1tqvaCgkFb8cCA/edit?usp=sharing"",""เลย!I512"")"),0)</f>
        <v>0</v>
      </c>
      <c r="J617" s="188">
        <f ca="1">IFERROR(__xludf.DUMMYFUNCTION("IMPORTRANGE(""https://docs.google.com/spreadsheets/d/1XL5vhW3sbDhbH9Cz0tuDiY8C3ctxq1tqvaCgkFb8cCA/edit?usp=sharing"",""เลย!J512"")"),0)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IFERROR(__xludf.DUMMYFUNCTION("IMPORTRANGE(""https://docs.google.com/spreadsheets/d/1XL5vhW3sbDhbH9Cz0tuDiY8C3ctxq1tqvaCgkFb8cCA/edit?usp=sharing"",""เลย!I513"")"),0)</f>
        <v>0</v>
      </c>
      <c r="J618" s="189">
        <f ca="1">IFERROR(__xludf.DUMMYFUNCTION("IMPORTRANGE(""https://docs.google.com/spreadsheets/d/1XL5vhW3sbDhbH9Cz0tuDiY8C3ctxq1tqvaCgkFb8cCA/edit?usp=sharing"",""เลย!J513"")"),0)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IFERROR(__xludf.DUMMYFUNCTION("IMPORTRANGE(""https://docs.google.com/spreadsheets/d/1XL5vhW3sbDhbH9Cz0tuDiY8C3ctxq1tqvaCgkFb8cCA/edit?usp=sharing"",""เลย!I514"")"),0)</f>
        <v>0</v>
      </c>
      <c r="J619" s="189">
        <f ca="1">IFERROR(__xludf.DUMMYFUNCTION("IMPORTRANGE(""https://docs.google.com/spreadsheets/d/1XL5vhW3sbDhbH9Cz0tuDiY8C3ctxq1tqvaCgkFb8cCA/edit?usp=sharing"",""เลย!J514"")"),0)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IFERROR(__xludf.DUMMYFUNCTION("IMPORTRANGE(""https://docs.google.com/spreadsheets/d/1XL5vhW3sbDhbH9Cz0tuDiY8C3ctxq1tqvaCgkFb8cCA/edit?usp=sharing"",""เลย!I515"")"),0)</f>
        <v>0</v>
      </c>
      <c r="J620" s="203">
        <f ca="1">IFERROR(__xludf.DUMMYFUNCTION("IMPORTRANGE(""https://docs.google.com/spreadsheets/d/1XL5vhW3sbDhbH9Cz0tuDiY8C3ctxq1tqvaCgkFb8cCA/edit?usp=sharing"",""เลย!J515"")"),0)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IFERROR(__xludf.DUMMYFUNCTION("IMPORTRANGE(""https://docs.google.com/spreadsheets/d/1XL5vhW3sbDhbH9Cz0tuDiY8C3ctxq1tqvaCgkFb8cCA/edit?usp=sharing"",""เลย!I516"")"),0)</f>
        <v>0</v>
      </c>
      <c r="J621" s="203">
        <f ca="1">IFERROR(__xludf.DUMMYFUNCTION("IMPORTRANGE(""https://docs.google.com/spreadsheets/d/1XL5vhW3sbDhbH9Cz0tuDiY8C3ctxq1tqvaCgkFb8cCA/edit?usp=sharing"",""เลย!J516"")"),0)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IFERROR(__xludf.DUMMYFUNCTION("IMPORTRANGE(""https://docs.google.com/spreadsheets/d/1XL5vhW3sbDhbH9Cz0tuDiY8C3ctxq1tqvaCgkFb8cCA/edit?usp=sharing"",""เลย!I517"")"),0)</f>
        <v>0</v>
      </c>
      <c r="J622" s="189">
        <f ca="1">IFERROR(__xludf.DUMMYFUNCTION("IMPORTRANGE(""https://docs.google.com/spreadsheets/d/1XL5vhW3sbDhbH9Cz0tuDiY8C3ctxq1tqvaCgkFb8cCA/edit?usp=sharing"",""เลย!J517"")"),0)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IFERROR(__xludf.DUMMYFUNCTION("IMPORTRANGE(""https://docs.google.com/spreadsheets/d/1XL5vhW3sbDhbH9Cz0tuDiY8C3ctxq1tqvaCgkFb8cCA/edit?usp=sharing"",""เลย!I518"")"),0)</f>
        <v>0</v>
      </c>
      <c r="J623" s="189">
        <f ca="1">IFERROR(__xludf.DUMMYFUNCTION("IMPORTRANGE(""https://docs.google.com/spreadsheets/d/1XL5vhW3sbDhbH9Cz0tuDiY8C3ctxq1tqvaCgkFb8cCA/edit?usp=sharing"",""เลย!J518"")"),0)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IFERROR(__xludf.DUMMYFUNCTION("IMPORTRANGE(""https://docs.google.com/spreadsheets/d/1XL5vhW3sbDhbH9Cz0tuDiY8C3ctxq1tqvaCgkFb8cCA/edit?usp=sharing"",""เลย!I519"")"),0)</f>
        <v>0</v>
      </c>
      <c r="J624" s="188">
        <f ca="1">IFERROR(__xludf.DUMMYFUNCTION("IMPORTRANGE(""https://docs.google.com/spreadsheets/d/1XL5vhW3sbDhbH9Cz0tuDiY8C3ctxq1tqvaCgkFb8cCA/edit?usp=sharing"",""เลย!J519"")"),0)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IFERROR(__xludf.DUMMYFUNCTION("IMPORTRANGE(""https://docs.google.com/spreadsheets/d/1XL5vhW3sbDhbH9Cz0tuDiY8C3ctxq1tqvaCgkFb8cCA/edit?usp=sharing"",""เลย!I520"")"),0)</f>
        <v>0</v>
      </c>
      <c r="J625" s="189">
        <f ca="1">IFERROR(__xludf.DUMMYFUNCTION("IMPORTRANGE(""https://docs.google.com/spreadsheets/d/1XL5vhW3sbDhbH9Cz0tuDiY8C3ctxq1tqvaCgkFb8cCA/edit?usp=sharing"",""เลย!J520"")"),0)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IFERROR(__xludf.DUMMYFUNCTION("IMPORTRANGE(""https://docs.google.com/spreadsheets/d/1XL5vhW3sbDhbH9Cz0tuDiY8C3ctxq1tqvaCgkFb8cCA/edit?usp=sharing"",""เลย!I521"")"),0)</f>
        <v>0</v>
      </c>
      <c r="J626" s="189">
        <f ca="1">IFERROR(__xludf.DUMMYFUNCTION("IMPORTRANGE(""https://docs.google.com/spreadsheets/d/1XL5vhW3sbDhbH9Cz0tuDiY8C3ctxq1tqvaCgkFb8cCA/edit?usp=sharing"",""เลย!J521"")"),0)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IFERROR(__xludf.DUMMYFUNCTION("IMPORTRANGE(""https://docs.google.com/spreadsheets/d/1XL5vhW3sbDhbH9Cz0tuDiY8C3ctxq1tqvaCgkFb8cCA/edit?usp=sharing"",""เลย!I523"")"),14378772.56)</f>
        <v>14378772.560000001</v>
      </c>
      <c r="J628" s="341">
        <f ca="1">IFERROR(__xludf.DUMMYFUNCTION("IMPORTRANGE(""https://docs.google.com/spreadsheets/d/1XL5vhW3sbDhbH9Cz0tuDiY8C3ctxq1tqvaCgkFb8cCA/edit?usp=sharing"",""เลย!J523"")"),10050000)</f>
        <v>10050000</v>
      </c>
      <c r="K628" s="342">
        <f t="shared" ref="K628:K635" ca="1" si="129">IF(I628&gt;0,J628*100/I628,0)</f>
        <v>69.894700386025164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IFERROR(__xludf.DUMMYFUNCTION("IMPORTRANGE(""https://docs.google.com/spreadsheets/d/1XL5vhW3sbDhbH9Cz0tuDiY8C3ctxq1tqvaCgkFb8cCA/edit?usp=sharing"",""เลย!I524"")"),302)</f>
        <v>302</v>
      </c>
      <c r="J629" s="341">
        <f ca="1">IFERROR(__xludf.DUMMYFUNCTION("IMPORTRANGE(""https://docs.google.com/spreadsheets/d/1XL5vhW3sbDhbH9Cz0tuDiY8C3ctxq1tqvaCgkFb8cCA/edit?usp=sharing"",""เลย!J524"")"),201)</f>
        <v>201</v>
      </c>
      <c r="K629" s="342">
        <f t="shared" ca="1" si="129"/>
        <v>66.556291390728475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IFERROR(__xludf.DUMMYFUNCTION("IMPORTRANGE(""https://docs.google.com/spreadsheets/d/1XL5vhW3sbDhbH9Cz0tuDiY8C3ctxq1tqvaCgkFb8cCA/edit?usp=sharing"",""เลย!I525"")"),18014555.35)</f>
        <v>18014555.350000001</v>
      </c>
      <c r="J630" s="341">
        <f ca="1">IFERROR(__xludf.DUMMYFUNCTION("IMPORTRANGE(""https://docs.google.com/spreadsheets/d/1XL5vhW3sbDhbH9Cz0tuDiY8C3ctxq1tqvaCgkFb8cCA/edit?usp=sharing"",""เลย!J525"")"),1498395.81)</f>
        <v>1498395.81</v>
      </c>
      <c r="K630" s="342">
        <f t="shared" ca="1" si="129"/>
        <v>8.3176952241566138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IFERROR(__xludf.DUMMYFUNCTION("IMPORTRANGE(""https://docs.google.com/spreadsheets/d/1XL5vhW3sbDhbH9Cz0tuDiY8C3ctxq1tqvaCgkFb8cCA/edit?usp=sharing"",""เลย!I526"")"),510)</f>
        <v>510</v>
      </c>
      <c r="J631" s="341">
        <f ca="1">IFERROR(__xludf.DUMMYFUNCTION("IMPORTRANGE(""https://docs.google.com/spreadsheets/d/1XL5vhW3sbDhbH9Cz0tuDiY8C3ctxq1tqvaCgkFb8cCA/edit?usp=sharing"",""เลย!J526"")"),186)</f>
        <v>186</v>
      </c>
      <c r="K631" s="342">
        <f t="shared" ca="1" si="129"/>
        <v>36.470588235294116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IFERROR(__xludf.DUMMYFUNCTION("IMPORTRANGE(""https://docs.google.com/spreadsheets/d/1XL5vhW3sbDhbH9Cz0tuDiY8C3ctxq1tqvaCgkFb8cCA/edit?usp=sharing"",""เลย!I527"")"),6149.25)</f>
        <v>6149.25</v>
      </c>
      <c r="J632" s="341">
        <f ca="1">IFERROR(__xludf.DUMMYFUNCTION("IMPORTRANGE(""https://docs.google.com/spreadsheets/d/1XL5vhW3sbDhbH9Cz0tuDiY8C3ctxq1tqvaCgkFb8cCA/edit?usp=sharing"",""เลย!J527"")"),5309.25)</f>
        <v>5309.25</v>
      </c>
      <c r="K632" s="342">
        <f t="shared" ca="1" si="129"/>
        <v>86.339797536284919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IFERROR(__xludf.DUMMYFUNCTION("IMPORTRANGE(""https://docs.google.com/spreadsheets/d/1XL5vhW3sbDhbH9Cz0tuDiY8C3ctxq1tqvaCgkFb8cCA/edit?usp=sharing"",""เลย!I528"")"),4)</f>
        <v>4</v>
      </c>
      <c r="J633" s="341">
        <f ca="1">IFERROR(__xludf.DUMMYFUNCTION("IMPORTRANGE(""https://docs.google.com/spreadsheets/d/1XL5vhW3sbDhbH9Cz0tuDiY8C3ctxq1tqvaCgkFb8cCA/edit?usp=sharing"",""เลย!J528"")"),3)</f>
        <v>3</v>
      </c>
      <c r="K633" s="342">
        <f t="shared" ca="1" si="129"/>
        <v>75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IFERROR(__xludf.DUMMYFUNCTION("IMPORTRANGE(""https://docs.google.com/spreadsheets/d/1XL5vhW3sbDhbH9Cz0tuDiY8C3ctxq1tqvaCgkFb8cCA/edit?usp=sharing"",""เลย!I529"")"),12000000)</f>
        <v>12000000</v>
      </c>
      <c r="J634" s="341">
        <f ca="1">IFERROR(__xludf.DUMMYFUNCTION("IMPORTRANGE(""https://docs.google.com/spreadsheets/d/1XL5vhW3sbDhbH9Cz0tuDiY8C3ctxq1tqvaCgkFb8cCA/edit?usp=sharing"",""เลย!J529"")"),9350000)</f>
        <v>9350000</v>
      </c>
      <c r="K634" s="342">
        <f t="shared" ca="1" si="129"/>
        <v>77.916666666666671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IFERROR(__xludf.DUMMYFUNCTION("IMPORTRANGE(""https://docs.google.com/spreadsheets/d/1XL5vhW3sbDhbH9Cz0tuDiY8C3ctxq1tqvaCgkFb8cCA/edit?usp=sharing"",""เลย!I530"")"),250)</f>
        <v>250</v>
      </c>
      <c r="J635" s="504">
        <f ca="1">IFERROR(__xludf.DUMMYFUNCTION("IMPORTRANGE(""https://docs.google.com/spreadsheets/d/1XL5vhW3sbDhbH9Cz0tuDiY8C3ctxq1tqvaCgkFb8cCA/edit?usp=sharing"",""เลย!J530"")"),187)</f>
        <v>187</v>
      </c>
      <c r="K635" s="486">
        <f t="shared" ca="1" si="129"/>
        <v>74.8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49" t="s">
        <v>237</v>
      </c>
      <c r="F636" s="549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2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12" sqref="J12"/>
      <selection pane="bottomLeft" activeCell="G569" sqref="G569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5.36328125" bestFit="1" customWidth="1"/>
    <col min="10" max="10" width="13.906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56" t="s">
        <v>0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</row>
    <row r="2" spans="1:16" ht="18" customHeight="1" x14ac:dyDescent="0.35">
      <c r="A2" s="556" t="s">
        <v>262</v>
      </c>
      <c r="B2" s="556"/>
      <c r="C2" s="556"/>
      <c r="D2" s="556"/>
      <c r="E2" s="556"/>
      <c r="F2" s="556"/>
      <c r="G2" s="556"/>
      <c r="H2" s="556"/>
      <c r="I2" s="556"/>
      <c r="J2" s="556"/>
      <c r="K2" s="556"/>
      <c r="L2" s="556"/>
      <c r="M2" s="556"/>
      <c r="N2" s="556"/>
      <c r="O2" s="556"/>
      <c r="P2" s="556"/>
    </row>
    <row r="3" spans="1:16" ht="18" customHeight="1" x14ac:dyDescent="0.35">
      <c r="A3" s="556" t="s">
        <v>278</v>
      </c>
      <c r="B3" s="556"/>
      <c r="C3" s="556"/>
      <c r="D3" s="556"/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6"/>
      <c r="P3" s="55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79" t="s">
        <v>2</v>
      </c>
      <c r="B5" s="565"/>
      <c r="C5" s="565"/>
      <c r="D5" s="565"/>
      <c r="E5" s="565"/>
      <c r="F5" s="565"/>
      <c r="G5" s="566"/>
      <c r="H5" s="578" t="s">
        <v>3</v>
      </c>
      <c r="I5" s="559" t="s">
        <v>4</v>
      </c>
      <c r="J5" s="560"/>
      <c r="K5" s="561"/>
      <c r="L5" s="562" t="s">
        <v>5</v>
      </c>
      <c r="M5" s="561"/>
      <c r="N5" s="563" t="s">
        <v>6</v>
      </c>
      <c r="O5" s="560"/>
      <c r="P5" s="561"/>
    </row>
    <row r="6" spans="1:16" ht="21.75" customHeight="1" x14ac:dyDescent="0.35">
      <c r="A6" s="567"/>
      <c r="B6" s="568"/>
      <c r="C6" s="568"/>
      <c r="D6" s="568"/>
      <c r="E6" s="568"/>
      <c r="F6" s="568"/>
      <c r="G6" s="569"/>
      <c r="H6" s="55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80" t="s">
        <v>15</v>
      </c>
      <c r="B7" s="560"/>
      <c r="C7" s="560"/>
      <c r="D7" s="560"/>
      <c r="E7" s="560"/>
      <c r="F7" s="560"/>
      <c r="G7" s="561"/>
      <c r="H7" s="512"/>
      <c r="I7" s="513"/>
      <c r="J7" s="513"/>
      <c r="K7" s="514"/>
      <c r="L7" s="515"/>
      <c r="M7" s="514"/>
      <c r="N7" s="515"/>
      <c r="O7" s="516"/>
      <c r="P7" s="516"/>
    </row>
    <row r="8" spans="1:16" ht="21.75" customHeight="1" x14ac:dyDescent="0.45">
      <c r="A8" s="17"/>
      <c r="B8" s="18"/>
      <c r="C8" s="19" t="s">
        <v>16</v>
      </c>
      <c r="D8" s="571" t="s">
        <v>17</v>
      </c>
      <c r="E8" s="555"/>
      <c r="F8" s="555"/>
      <c r="G8" s="555"/>
      <c r="H8" s="20" t="s">
        <v>12</v>
      </c>
      <c r="I8" s="21"/>
      <c r="J8" s="21"/>
      <c r="K8" s="22"/>
      <c r="L8" s="23">
        <f t="shared" ref="L8:N8" ca="1" si="0">L9+L10</f>
        <v>8620216</v>
      </c>
      <c r="M8" s="23">
        <f t="shared" ca="1" si="0"/>
        <v>4382614</v>
      </c>
      <c r="N8" s="23">
        <f t="shared" ca="1" si="0"/>
        <v>3480534.6300000004</v>
      </c>
      <c r="O8" s="22">
        <f t="shared" ref="O8:O16" ca="1" si="1">IF(L8&gt;0,N8*100/L8,0)</f>
        <v>40.376420150028729</v>
      </c>
      <c r="P8" s="22">
        <f t="shared" ref="P8:P16" ca="1" si="2">IF(M8&gt;0,N8*100/M8,0)</f>
        <v>79.416864683953477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8620216</v>
      </c>
      <c r="M10" s="30">
        <f t="shared" ca="1" si="4"/>
        <v>4382614</v>
      </c>
      <c r="N10" s="30">
        <f t="shared" ca="1" si="4"/>
        <v>3480534.6300000004</v>
      </c>
      <c r="O10" s="29">
        <f t="shared" ca="1" si="1"/>
        <v>40.376420150028729</v>
      </c>
      <c r="P10" s="29">
        <f t="shared" ca="1" si="2"/>
        <v>79.416864683953477</v>
      </c>
    </row>
    <row r="11" spans="1:16" ht="21.75" customHeight="1" x14ac:dyDescent="0.45">
      <c r="A11" s="31"/>
      <c r="B11" s="32"/>
      <c r="C11" s="33" t="s">
        <v>16</v>
      </c>
      <c r="D11" s="572" t="s">
        <v>20</v>
      </c>
      <c r="E11" s="553"/>
      <c r="F11" s="55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7683216</v>
      </c>
      <c r="M12" s="38">
        <f t="shared" ca="1" si="6"/>
        <v>3445614</v>
      </c>
      <c r="N12" s="38">
        <f t="shared" ca="1" si="6"/>
        <v>2543534.6300000004</v>
      </c>
      <c r="O12" s="38">
        <f t="shared" ca="1" si="1"/>
        <v>33.105077743486582</v>
      </c>
      <c r="P12" s="38">
        <f t="shared" ca="1" si="2"/>
        <v>73.819488485941847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2353500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5329716</v>
      </c>
      <c r="M14" s="38">
        <f t="shared" si="8"/>
        <v>0</v>
      </c>
      <c r="N14" s="38">
        <f t="shared" ca="1" si="8"/>
        <v>502604.97000000009</v>
      </c>
      <c r="O14" s="38">
        <f t="shared" ca="1" si="1"/>
        <v>9.4302392472694621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2" t="s">
        <v>23</v>
      </c>
      <c r="E15" s="55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937000</v>
      </c>
      <c r="M16" s="38">
        <f t="shared" ca="1" si="10"/>
        <v>937000</v>
      </c>
      <c r="N16" s="38">
        <f t="shared" ca="1" si="10"/>
        <v>937000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80" t="s">
        <v>24</v>
      </c>
      <c r="B17" s="560"/>
      <c r="C17" s="560"/>
      <c r="D17" s="560"/>
      <c r="E17" s="560"/>
      <c r="F17" s="560"/>
      <c r="G17" s="561"/>
      <c r="H17" s="512"/>
      <c r="I17" s="513"/>
      <c r="J17" s="513"/>
      <c r="K17" s="514"/>
      <c r="L17" s="515"/>
      <c r="M17" s="514"/>
      <c r="N17" s="515"/>
      <c r="O17" s="516"/>
      <c r="P17" s="516"/>
    </row>
    <row r="18" spans="1:16" ht="21.75" customHeight="1" x14ac:dyDescent="0.45">
      <c r="A18" s="17"/>
      <c r="B18" s="18"/>
      <c r="C18" s="19" t="s">
        <v>16</v>
      </c>
      <c r="D18" s="571" t="s">
        <v>17</v>
      </c>
      <c r="E18" s="555"/>
      <c r="F18" s="555"/>
      <c r="G18" s="555"/>
      <c r="H18" s="20" t="s">
        <v>12</v>
      </c>
      <c r="I18" s="21"/>
      <c r="J18" s="21"/>
      <c r="K18" s="22"/>
      <c r="L18" s="23">
        <f t="shared" ref="L18:N18" ca="1" si="11">L19+L20</f>
        <v>5432895</v>
      </c>
      <c r="M18" s="23">
        <f t="shared" ca="1" si="11"/>
        <v>4382614</v>
      </c>
      <c r="N18" s="23">
        <f t="shared" ca="1" si="11"/>
        <v>2977929.66</v>
      </c>
      <c r="O18" s="22">
        <f t="shared" ref="O18:O20" ca="1" si="12">IF(L18&gt;0,N18*100/L18,0)</f>
        <v>54.812943375493177</v>
      </c>
      <c r="P18" s="22">
        <f t="shared" ref="P18:P26" ca="1" si="13">IF(M18&gt;0,N18*100/M18,0)</f>
        <v>67.948709605728453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5432895</v>
      </c>
      <c r="M20" s="30">
        <f t="shared" ca="1" si="15"/>
        <v>4382614</v>
      </c>
      <c r="N20" s="30">
        <f t="shared" ca="1" si="15"/>
        <v>2977929.66</v>
      </c>
      <c r="O20" s="29">
        <f t="shared" ca="1" si="12"/>
        <v>54.812943375493177</v>
      </c>
      <c r="P20" s="29">
        <f t="shared" ca="1" si="13"/>
        <v>67.948709605728453</v>
      </c>
    </row>
    <row r="21" spans="1:16" ht="21.75" customHeight="1" x14ac:dyDescent="0.45">
      <c r="A21" s="31"/>
      <c r="B21" s="32"/>
      <c r="C21" s="33" t="s">
        <v>16</v>
      </c>
      <c r="D21" s="572" t="s">
        <v>20</v>
      </c>
      <c r="E21" s="553"/>
      <c r="F21" s="55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4495895</v>
      </c>
      <c r="M22" s="41">
        <f t="shared" ca="1" si="18"/>
        <v>3445614</v>
      </c>
      <c r="N22" s="38">
        <f t="shared" ca="1" si="18"/>
        <v>2040929.6600000001</v>
      </c>
      <c r="O22" s="38">
        <f t="shared" ca="1" si="17"/>
        <v>45.395403139975464</v>
      </c>
      <c r="P22" s="38">
        <f t="shared" ca="1" si="13"/>
        <v>59.232684218255443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2353500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2142395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2" t="s">
        <v>23</v>
      </c>
      <c r="E25" s="55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937000</v>
      </c>
      <c r="M26" s="49">
        <f t="shared" ca="1" si="22"/>
        <v>937000</v>
      </c>
      <c r="N26" s="49">
        <f t="shared" ca="1" si="22"/>
        <v>937000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80" t="s">
        <v>25</v>
      </c>
      <c r="B27" s="560"/>
      <c r="C27" s="560"/>
      <c r="D27" s="560"/>
      <c r="E27" s="560"/>
      <c r="F27" s="560"/>
      <c r="G27" s="561"/>
      <c r="H27" s="512"/>
      <c r="I27" s="513"/>
      <c r="J27" s="513"/>
      <c r="K27" s="514"/>
      <c r="L27" s="515"/>
      <c r="M27" s="514"/>
      <c r="N27" s="515"/>
      <c r="O27" s="516"/>
      <c r="P27" s="516"/>
    </row>
    <row r="28" spans="1:16" ht="21.75" customHeight="1" x14ac:dyDescent="0.45">
      <c r="A28" s="17"/>
      <c r="B28" s="18"/>
      <c r="C28" s="19" t="s">
        <v>16</v>
      </c>
      <c r="D28" s="571" t="s">
        <v>17</v>
      </c>
      <c r="E28" s="555"/>
      <c r="F28" s="555"/>
      <c r="G28" s="555"/>
      <c r="H28" s="20" t="s">
        <v>12</v>
      </c>
      <c r="I28" s="21"/>
      <c r="J28" s="21"/>
      <c r="K28" s="22"/>
      <c r="L28" s="23">
        <f t="shared" ref="L28:N28" ca="1" si="23">L29+L30</f>
        <v>3187321</v>
      </c>
      <c r="M28" s="23">
        <f t="shared" si="23"/>
        <v>0</v>
      </c>
      <c r="N28" s="23">
        <f t="shared" ca="1" si="23"/>
        <v>502604.97000000009</v>
      </c>
      <c r="O28" s="22">
        <f t="shared" ref="O28:O30" ca="1" si="24">IF(L28&gt;0,N28*100/L28,0)</f>
        <v>15.768884589911091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3187321</v>
      </c>
      <c r="M30" s="30">
        <f t="shared" si="27"/>
        <v>0</v>
      </c>
      <c r="N30" s="30">
        <f t="shared" ca="1" si="27"/>
        <v>502604.97000000009</v>
      </c>
      <c r="O30" s="29">
        <f t="shared" ca="1" si="24"/>
        <v>15.768884589911091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2" t="s">
        <v>20</v>
      </c>
      <c r="E31" s="553"/>
      <c r="F31" s="55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3187321</v>
      </c>
      <c r="M32" s="38">
        <f t="shared" si="30"/>
        <v>0</v>
      </c>
      <c r="N32" s="38">
        <f t="shared" ca="1" si="30"/>
        <v>502604.97000000009</v>
      </c>
      <c r="O32" s="38">
        <f t="shared" ca="1" si="29"/>
        <v>15.768884589911091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3187321</v>
      </c>
      <c r="M34" s="38">
        <f t="shared" si="32"/>
        <v>0</v>
      </c>
      <c r="N34" s="38">
        <f t="shared" ca="1" si="32"/>
        <v>502604.97000000009</v>
      </c>
      <c r="O34" s="38">
        <f t="shared" ca="1" si="29"/>
        <v>15.768884589911091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2" t="s">
        <v>23</v>
      </c>
      <c r="E35" s="55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5432895</v>
      </c>
      <c r="M37" s="54">
        <f t="shared" ca="1" si="33"/>
        <v>4382614</v>
      </c>
      <c r="N37" s="54">
        <f t="shared" ca="1" si="33"/>
        <v>2977929.6599999997</v>
      </c>
      <c r="O37" s="55">
        <f t="shared" ca="1" si="29"/>
        <v>54.812943375493163</v>
      </c>
      <c r="P37" s="55">
        <f t="shared" ca="1" si="25"/>
        <v>67.948709605728439</v>
      </c>
    </row>
    <row r="38" spans="1:16" ht="21.75" customHeight="1" x14ac:dyDescent="0.45">
      <c r="A38" s="581" t="s">
        <v>27</v>
      </c>
      <c r="B38" s="560"/>
      <c r="C38" s="560"/>
      <c r="D38" s="560"/>
      <c r="E38" s="560"/>
      <c r="F38" s="560"/>
      <c r="G38" s="561"/>
      <c r="H38" s="517"/>
      <c r="I38" s="518"/>
      <c r="J38" s="518"/>
      <c r="K38" s="519"/>
      <c r="L38" s="520"/>
      <c r="M38" s="520"/>
      <c r="N38" s="520"/>
      <c r="O38" s="520"/>
      <c r="P38" s="520"/>
    </row>
    <row r="39" spans="1:16" ht="21.75" customHeight="1" x14ac:dyDescent="0.45">
      <c r="A39" s="521"/>
      <c r="B39" s="582" t="s">
        <v>28</v>
      </c>
      <c r="C39" s="555"/>
      <c r="D39" s="555"/>
      <c r="E39" s="555"/>
      <c r="F39" s="555"/>
      <c r="G39" s="555"/>
      <c r="H39" s="522"/>
      <c r="I39" s="523"/>
      <c r="J39" s="523"/>
      <c r="K39" s="524"/>
      <c r="L39" s="525"/>
      <c r="M39" s="525"/>
      <c r="N39" s="525"/>
      <c r="O39" s="524"/>
      <c r="P39" s="524"/>
    </row>
    <row r="40" spans="1:16" ht="21.75" customHeight="1" x14ac:dyDescent="0.45">
      <c r="A40" s="526"/>
      <c r="B40" s="527" t="s">
        <v>29</v>
      </c>
      <c r="C40" s="528"/>
      <c r="D40" s="528"/>
      <c r="E40" s="528"/>
      <c r="F40" s="528"/>
      <c r="G40" s="528"/>
      <c r="H40" s="529"/>
      <c r="I40" s="530"/>
      <c r="J40" s="530"/>
      <c r="K40" s="531"/>
      <c r="L40" s="532"/>
      <c r="M40" s="532"/>
      <c r="N40" s="532"/>
      <c r="O40" s="531"/>
      <c r="P40" s="531"/>
    </row>
    <row r="41" spans="1:16" ht="21.75" customHeight="1" x14ac:dyDescent="0.45">
      <c r="A41" s="72"/>
      <c r="B41" s="73"/>
      <c r="C41" s="74" t="s">
        <v>16</v>
      </c>
      <c r="D41" s="575" t="s">
        <v>17</v>
      </c>
      <c r="E41" s="553"/>
      <c r="F41" s="553"/>
      <c r="G41" s="553"/>
      <c r="H41" s="75" t="s">
        <v>12</v>
      </c>
      <c r="I41" s="76"/>
      <c r="J41" s="76"/>
      <c r="K41" s="77"/>
      <c r="L41" s="78">
        <f t="shared" ref="L41:N41" ca="1" si="34">L42+L43</f>
        <v>1754100</v>
      </c>
      <c r="M41" s="78">
        <f t="shared" ca="1" si="34"/>
        <v>1545600</v>
      </c>
      <c r="N41" s="78">
        <f t="shared" ca="1" si="34"/>
        <v>1364754.67</v>
      </c>
      <c r="O41" s="77">
        <f t="shared" ref="O41:O43" ca="1" si="35">IF(L41&gt;0,N41*100/L41,0)</f>
        <v>77.803698192805427</v>
      </c>
      <c r="P41" s="77">
        <f t="shared" ref="P41:P43" ca="1" si="36">IF(M41&gt;0,N41*100/M41,0)</f>
        <v>88.299344591097309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1754100</v>
      </c>
      <c r="M43" s="78">
        <f t="shared" ca="1" si="38"/>
        <v>1545600</v>
      </c>
      <c r="N43" s="78">
        <f t="shared" ca="1" si="38"/>
        <v>1364754.67</v>
      </c>
      <c r="O43" s="77">
        <f t="shared" ca="1" si="35"/>
        <v>77.803698192805427</v>
      </c>
      <c r="P43" s="77">
        <f t="shared" ca="1" si="36"/>
        <v>88.299344591097309</v>
      </c>
    </row>
    <row r="44" spans="1:16" ht="21.75" customHeight="1" x14ac:dyDescent="0.45">
      <c r="A44" s="79"/>
      <c r="B44" s="80"/>
      <c r="C44" s="81" t="s">
        <v>16</v>
      </c>
      <c r="D44" s="552" t="s">
        <v>20</v>
      </c>
      <c r="E44" s="553"/>
      <c r="F44" s="55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834100</v>
      </c>
      <c r="M45" s="533">
        <f ca="1">IFERROR(__xludf.DUMMYFUNCTION("IMPORTRANGE(""https://docs.google.com/spreadsheets/d/1Yj_ptqi66GCucihVvJfMjLAmec39IyEx_6qawtMGysU/edit?usp=sharing"",""สบก!Q50"")"),625600)</f>
        <v>625600</v>
      </c>
      <c r="N45" s="533">
        <f ca="1">IFERROR(__xludf.DUMMYFUNCTION("IMPORTRANGE(""https://docs.google.com/spreadsheets/d/1Yj_ptqi66GCucihVvJfMjLAmec39IyEx_6qawtMGysU/edit?usp=sharing"",""สบก!R50"")"),444754.67)</f>
        <v>444754.67</v>
      </c>
      <c r="O45" s="534">
        <f ca="1">IF(L45&gt;0,N45*100/L45,0)</f>
        <v>53.321504615753504</v>
      </c>
      <c r="P45" s="534">
        <f ca="1">IF(M45&gt;0,N45*100/M45,0)</f>
        <v>71.092498401534527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533">
        <f ca="1">IFERROR(__xludf.DUMMYFUNCTION("IMPORTRANGE(""https://docs.google.com/spreadsheets/d/1Yj_ptqi66GCucihVvJfMjLAmec39IyEx_6qawtMGysU/edit?usp=sharing"",""สบก!M50"")"),834100)</f>
        <v>834100</v>
      </c>
      <c r="M46" s="535"/>
      <c r="N46" s="38"/>
      <c r="O46" s="534"/>
      <c r="P46" s="534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533">
        <f ca="1">IFERROR(__xludf.DUMMYFUNCTION("IMPORTRANGE(""https://docs.google.com/spreadsheets/d/1Yj_ptqi66GCucihVvJfMjLAmec39IyEx_6qawtMGysU/edit?usp=sharing"",""สบก!N50"")"),0)</f>
        <v>0</v>
      </c>
      <c r="M47" s="535"/>
      <c r="N47" s="38"/>
      <c r="O47" s="534"/>
      <c r="P47" s="534"/>
    </row>
    <row r="48" spans="1:16" ht="21.75" customHeight="1" x14ac:dyDescent="0.45">
      <c r="A48" s="79"/>
      <c r="B48" s="80"/>
      <c r="C48" s="81" t="s">
        <v>16</v>
      </c>
      <c r="D48" s="552" t="s">
        <v>23</v>
      </c>
      <c r="E48" s="55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535"/>
      <c r="N48" s="41"/>
      <c r="O48" s="535"/>
      <c r="P48" s="535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33">
        <f ca="1">IFERROR(__xludf.DUMMYFUNCTION("IMPORTRANGE(""https://docs.google.com/spreadsheets/d/1Yj_ptqi66GCucihVvJfMjLAmec39IyEx_6qawtMGysU/edit?usp=sharing"",""สบก!O50"")"),920000)</f>
        <v>920000</v>
      </c>
      <c r="M49" s="536">
        <f ca="1">L49</f>
        <v>920000</v>
      </c>
      <c r="N49" s="533">
        <f ca="1">IFERROR(__xludf.DUMMYFUNCTION("IMPORTRANGE(""https://docs.google.com/spreadsheets/d/1Yj_ptqi66GCucihVvJfMjLAmec39IyEx_6qawtMGysU/edit?usp=sharing"",""สบก!S50"")"),920000)</f>
        <v>920000</v>
      </c>
      <c r="O49" s="536">
        <f ca="1">IF(L49&gt;0,N49*100/L49,0)</f>
        <v>100</v>
      </c>
      <c r="P49" s="536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76" t="s">
        <v>32</v>
      </c>
      <c r="C52" s="553"/>
      <c r="D52" s="553"/>
      <c r="E52" s="553"/>
      <c r="F52" s="553"/>
      <c r="G52" s="55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77" t="s">
        <v>17</v>
      </c>
      <c r="E53" s="553"/>
      <c r="F53" s="553"/>
      <c r="G53" s="553"/>
      <c r="H53" s="118" t="s">
        <v>12</v>
      </c>
      <c r="I53" s="119"/>
      <c r="J53" s="119"/>
      <c r="K53" s="120"/>
      <c r="L53" s="121">
        <f t="shared" ref="L53:N53" ca="1" si="39">L54+L55</f>
        <v>687600</v>
      </c>
      <c r="M53" s="121">
        <f t="shared" ca="1" si="39"/>
        <v>543564</v>
      </c>
      <c r="N53" s="121">
        <f t="shared" ca="1" si="39"/>
        <v>396260.96</v>
      </c>
      <c r="O53" s="120">
        <f t="shared" ref="O53:O55" ca="1" si="40">IF(L53&gt;0,N53*100/L53,0)</f>
        <v>57.629575334496799</v>
      </c>
      <c r="P53" s="120">
        <f t="shared" ref="P53:P55" ca="1" si="41">IF(M53&gt;0,N53*100/M53,0)</f>
        <v>72.900515854618774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687600</v>
      </c>
      <c r="M55" s="121">
        <f t="shared" ca="1" si="43"/>
        <v>543564</v>
      </c>
      <c r="N55" s="121">
        <f t="shared" ca="1" si="43"/>
        <v>396260.96</v>
      </c>
      <c r="O55" s="120">
        <f t="shared" ca="1" si="40"/>
        <v>57.629575334496799</v>
      </c>
      <c r="P55" s="120">
        <f t="shared" ca="1" si="41"/>
        <v>72.900515854618774</v>
      </c>
    </row>
    <row r="56" spans="1:16" ht="21.75" customHeight="1" x14ac:dyDescent="0.45">
      <c r="A56" s="79"/>
      <c r="B56" s="80"/>
      <c r="C56" s="81" t="s">
        <v>16</v>
      </c>
      <c r="D56" s="552" t="s">
        <v>20</v>
      </c>
      <c r="E56" s="553"/>
      <c r="F56" s="55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687600</v>
      </c>
      <c r="M57" s="533">
        <f ca="1">IFERROR(__xludf.DUMMYFUNCTION("IMPORTRANGE(""https://docs.google.com/spreadsheets/d/1Yj_ptqi66GCucihVvJfMjLAmec39IyEx_6qawtMGysU/edit?usp=sharing"",""สบก!Z50"")"),543564)</f>
        <v>543564</v>
      </c>
      <c r="N57" s="533">
        <f ca="1">IFERROR(__xludf.DUMMYFUNCTION("IMPORTRANGE(""https://docs.google.com/spreadsheets/d/1Yj_ptqi66GCucihVvJfMjLAmec39IyEx_6qawtMGysU/edit?usp=sharing"",""สบก!AA50"")"),396260.96)</f>
        <v>396260.96</v>
      </c>
      <c r="O57" s="534">
        <f ca="1">IF(L57&gt;0,N57*100/L57,0)</f>
        <v>57.629575334496799</v>
      </c>
      <c r="P57" s="534">
        <f ca="1">IF(M57&gt;0,N57*100/M57,0)</f>
        <v>72.900515854618774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533">
        <f ca="1">IFERROR(__xludf.DUMMYFUNCTION("IMPORTRANGE(""https://docs.google.com/spreadsheets/d/1Yj_ptqi66GCucihVvJfMjLAmec39IyEx_6qawtMGysU/edit?usp=sharing"",""สบก!V50"")"),687600)</f>
        <v>687600</v>
      </c>
      <c r="M58" s="535"/>
      <c r="N58" s="38"/>
      <c r="O58" s="534"/>
      <c r="P58" s="534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533">
        <f ca="1">IFERROR(__xludf.DUMMYFUNCTION("IMPORTRANGE(""https://docs.google.com/spreadsheets/d/1Yj_ptqi66GCucihVvJfMjLAmec39IyEx_6qawtMGysU/edit?usp=sharing"",""สบก!W50"")"),0)</f>
        <v>0</v>
      </c>
      <c r="M59" s="535"/>
      <c r="N59" s="38"/>
      <c r="O59" s="534"/>
      <c r="P59" s="534"/>
    </row>
    <row r="60" spans="1:16" ht="21.75" customHeight="1" x14ac:dyDescent="0.45">
      <c r="A60" s="79"/>
      <c r="B60" s="80"/>
      <c r="C60" s="81" t="s">
        <v>16</v>
      </c>
      <c r="D60" s="552" t="s">
        <v>23</v>
      </c>
      <c r="E60" s="55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535"/>
      <c r="N60" s="41"/>
      <c r="O60" s="535"/>
      <c r="P60" s="535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33">
        <f ca="1">IFERROR(__xludf.DUMMYFUNCTION("IMPORTRANGE(""https://docs.google.com/spreadsheets/d/1Yj_ptqi66GCucihVvJfMjLAmec39IyEx_6qawtMGysU/edit?usp=sharing"",""สบก!X50"")"),0)</f>
        <v>0</v>
      </c>
      <c r="M61" s="536"/>
      <c r="N61" s="533">
        <f ca="1">IFERROR(__xludf.DUMMYFUNCTION("IMPORTRANGE(""https://docs.google.com/spreadsheets/d/1Yj_ptqi66GCucihVvJfMjLAmec39IyEx_6qawtMGysU/edit?usp=sharing"",""สบก!AB50"")"),0)</f>
        <v>0</v>
      </c>
      <c r="O61" s="536">
        <f ca="1">IF(L61&gt;0,N61*100/L61,0)</f>
        <v>0</v>
      </c>
      <c r="P61" s="536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IFERROR(__xludf.DUMMYFUNCTION("IMPORTRANGE(""https://docs.google.com/spreadsheets/d/1XL5vhW3sbDhbH9Cz0tuDiY8C3ctxq1tqvaCgkFb8cCA/edit?usp=sharing"",""ศรีสะเกษ!I9"")"),1)</f>
        <v>1</v>
      </c>
      <c r="J64" s="142">
        <f ca="1">IFERROR(__xludf.DUMMYFUNCTION("IMPORTRANGE(""https://docs.google.com/spreadsheets/d/1XL5vhW3sbDhbH9Cz0tuDiY8C3ctxq1tqvaCgkFb8cCA/edit?usp=sharing"",""ศรีสะเกษ!J9"")"),1)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IFERROR(__xludf.DUMMYFUNCTION("IMPORTRANGE(""https://docs.google.com/spreadsheets/d/1XL5vhW3sbDhbH9Cz0tuDiY8C3ctxq1tqvaCgkFb8cCA/edit?usp=sharing"",""ศรีสะเกษ!I10"")"),71)</f>
        <v>71</v>
      </c>
      <c r="J65" s="142">
        <f ca="1">IFERROR(__xludf.DUMMYFUNCTION("IMPORTRANGE(""https://docs.google.com/spreadsheets/d/1XL5vhW3sbDhbH9Cz0tuDiY8C3ctxq1tqvaCgkFb8cCA/edit?usp=sharing"",""ศรีสะเกษ!J10"")"),71)</f>
        <v>71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54" t="s">
        <v>17</v>
      </c>
      <c r="E66" s="555"/>
      <c r="F66" s="555"/>
      <c r="G66" s="555"/>
      <c r="H66" s="149" t="s">
        <v>12</v>
      </c>
      <c r="I66" s="150"/>
      <c r="J66" s="150"/>
      <c r="K66" s="151"/>
      <c r="L66" s="152">
        <f t="shared" ref="L66:N66" ca="1" si="45">L67+L68</f>
        <v>926600</v>
      </c>
      <c r="M66" s="152">
        <f t="shared" ca="1" si="45"/>
        <v>771320</v>
      </c>
      <c r="N66" s="152">
        <f t="shared" ca="1" si="45"/>
        <v>456527.61</v>
      </c>
      <c r="O66" s="151">
        <f t="shared" ref="O66:O68" ca="1" si="46">IF(L66&gt;0,N66*100/L66,0)</f>
        <v>49.269113965033455</v>
      </c>
      <c r="P66" s="151">
        <f t="shared" ref="P66:P68" ca="1" si="47">IF(M66&gt;0,N66*100/M66,0)</f>
        <v>59.187835139760409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926600</v>
      </c>
      <c r="M68" s="157">
        <f t="shared" ca="1" si="49"/>
        <v>771320</v>
      </c>
      <c r="N68" s="157">
        <f t="shared" ca="1" si="49"/>
        <v>456527.61</v>
      </c>
      <c r="O68" s="156">
        <f t="shared" ca="1" si="46"/>
        <v>49.269113965033455</v>
      </c>
      <c r="P68" s="156">
        <f t="shared" ca="1" si="47"/>
        <v>59.187835139760409</v>
      </c>
    </row>
    <row r="69" spans="1:16" ht="21.75" customHeight="1" x14ac:dyDescent="0.45">
      <c r="A69" s="158"/>
      <c r="B69" s="159"/>
      <c r="C69" s="159" t="s">
        <v>16</v>
      </c>
      <c r="D69" s="552" t="s">
        <v>20</v>
      </c>
      <c r="E69" s="553"/>
      <c r="F69" s="55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926600</v>
      </c>
      <c r="M70" s="537">
        <f ca="1">IFERROR(__xludf.DUMMYFUNCTION("IMPORTRANGE(""https://docs.google.com/spreadsheets/d/1Yj_ptqi66GCucihVvJfMjLAmec39IyEx_6qawtMGysU/edit?usp=sharing"",""สบก!AI50"")"),771320)</f>
        <v>771320</v>
      </c>
      <c r="N70" s="538">
        <f ca="1">IFERROR(__xludf.DUMMYFUNCTION("IMPORTRANGE(""https://docs.google.com/spreadsheets/d/1Yj_ptqi66GCucihVvJfMjLAmec39IyEx_6qawtMGysU/edit?usp=sharing"",""สบก!AJ50"")"),456527.61)</f>
        <v>456527.61</v>
      </c>
      <c r="O70" s="169">
        <f ca="1">IF(L70&gt;0,N70*100/L70,0)</f>
        <v>49.269113965033455</v>
      </c>
      <c r="P70" s="169">
        <f ca="1">IF(M70&gt;0,N70*100/M70,0)</f>
        <v>59.187835139760409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537">
        <f ca="1">IFERROR(__xludf.DUMMYFUNCTION("IMPORTRANGE(""https://docs.google.com/spreadsheets/d/1Yj_ptqi66GCucihVvJfMjLAmec39IyEx_6qawtMGysU/edit?usp=sharing"",""สบก!AE50"")"),331400)</f>
        <v>331400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537">
        <f ca="1">IFERROR(__xludf.DUMMYFUNCTION("IMPORTRANGE(""https://docs.google.com/spreadsheets/d/1Yj_ptqi66GCucihVvJfMjLAmec39IyEx_6qawtMGysU/edit?usp=sharing"",""สบก!AF50"")"),595200)</f>
        <v>595200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52" t="s">
        <v>23</v>
      </c>
      <c r="E73" s="553"/>
      <c r="F73" s="89"/>
      <c r="G73" s="82" t="s">
        <v>18</v>
      </c>
      <c r="H73" s="172" t="s">
        <v>12</v>
      </c>
      <c r="I73" s="84"/>
      <c r="J73" s="84"/>
      <c r="K73" s="85"/>
      <c r="L73" s="535">
        <v>0</v>
      </c>
      <c r="M73" s="535"/>
      <c r="N73" s="41"/>
      <c r="O73" s="535"/>
      <c r="P73" s="535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533">
        <f ca="1">IFERROR(__xludf.DUMMYFUNCTION("IMPORTRANGE(""https://docs.google.com/spreadsheets/d/1Yj_ptqi66GCucihVvJfMjLAmec39IyEx_6qawtMGysU/edit?usp=sharing"",""สบก!AG50"")"),0)</f>
        <v>0</v>
      </c>
      <c r="M74" s="536"/>
      <c r="N74" s="533">
        <f ca="1">IFERROR(__xludf.DUMMYFUNCTION("IMPORTRANGE(""https://docs.google.com/spreadsheets/d/1Yj_ptqi66GCucihVvJfMjLAmec39IyEx_6qawtMGysU/edit?usp=sharing"",""สบก!AK50"")"),0)</f>
        <v>0</v>
      </c>
      <c r="O74" s="536">
        <f ca="1">IF(L74&gt;0,N74*100/L74,0)</f>
        <v>0</v>
      </c>
      <c r="P74" s="536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IFERROR(__xludf.DUMMYFUNCTION("IMPORTRANGE(""https://docs.google.com/spreadsheets/d/1XL5vhW3sbDhbH9Cz0tuDiY8C3ctxq1tqvaCgkFb8cCA/edit?usp=sharing"",""ศรีสะเกษ!J16"")"),0)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IFERROR(__xludf.DUMMYFUNCTION("IMPORTRANGE(""https://docs.google.com/spreadsheets/d/1XL5vhW3sbDhbH9Cz0tuDiY8C3ctxq1tqvaCgkFb8cCA/edit?usp=sharing"",""ศรีสะเกษ!J17"")"),1)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IFERROR(__xludf.DUMMYFUNCTION("IMPORTRANGE(""https://docs.google.com/spreadsheets/d/1XL5vhW3sbDhbH9Cz0tuDiY8C3ctxq1tqvaCgkFb8cCA/edit?usp=sharing"",""ศรีสะเกษ!J18"")"),1)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IFERROR(__xludf.DUMMYFUNCTION("IMPORTRANGE(""https://docs.google.com/spreadsheets/d/1XL5vhW3sbDhbH9Cz0tuDiY8C3ctxq1tqvaCgkFb8cCA/edit?usp=sharing"",""ศรีสะเกษ!J19"")"),1)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IFERROR(__xludf.DUMMYFUNCTION("IMPORTRANGE(""https://docs.google.com/spreadsheets/d/1XL5vhW3sbDhbH9Cz0tuDiY8C3ctxq1tqvaCgkFb8cCA/edit?usp=sharing"",""ศรีสะเกษ!I20"")"),1)</f>
        <v>1</v>
      </c>
      <c r="J80" s="201">
        <f ca="1">IFERROR(__xludf.DUMMYFUNCTION("IMPORTRANGE(""https://docs.google.com/spreadsheets/d/1XL5vhW3sbDhbH9Cz0tuDiY8C3ctxq1tqvaCgkFb8cCA/edit?usp=sharing"",""ศรีสะเกษ!J20"")"),1)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IFERROR(__xludf.DUMMYFUNCTION("IMPORTRANGE(""https://docs.google.com/spreadsheets/d/1XL5vhW3sbDhbH9Cz0tuDiY8C3ctxq1tqvaCgkFb8cCA/edit?usp=sharing"",""ศรีสะเกษ!I21"")"),71)</f>
        <v>71</v>
      </c>
      <c r="J81" s="201">
        <f ca="1">IFERROR(__xludf.DUMMYFUNCTION("IMPORTRANGE(""https://docs.google.com/spreadsheets/d/1XL5vhW3sbDhbH9Cz0tuDiY8C3ctxq1tqvaCgkFb8cCA/edit?usp=sharing"",""ศรีสะเกษ!J21"")"),71)</f>
        <v>71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IFERROR(__xludf.DUMMYFUNCTION("IMPORTRANGE(""https://docs.google.com/spreadsheets/d/1XL5vhW3sbDhbH9Cz0tuDiY8C3ctxq1tqvaCgkFb8cCA/edit?usp=sharing"",""ศรีสะเกษ!I22"")"),0)</f>
        <v>0</v>
      </c>
      <c r="J82" s="204">
        <f ca="1">IFERROR(__xludf.DUMMYFUNCTION("IMPORTRANGE(""https://docs.google.com/spreadsheets/d/1XL5vhW3sbDhbH9Cz0tuDiY8C3ctxq1tqvaCgkFb8cCA/edit?usp=sharing"",""ศรีสะเกษ!J22"")"),0)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IFERROR(__xludf.DUMMYFUNCTION("IMPORTRANGE(""https://docs.google.com/spreadsheets/d/1XL5vhW3sbDhbH9Cz0tuDiY8C3ctxq1tqvaCgkFb8cCA/edit?usp=sharing"",""ศรีสะเกษ!I23"")"),0)</f>
        <v>0</v>
      </c>
      <c r="J83" s="204">
        <f ca="1">IFERROR(__xludf.DUMMYFUNCTION("IMPORTRANGE(""https://docs.google.com/spreadsheets/d/1XL5vhW3sbDhbH9Cz0tuDiY8C3ctxq1tqvaCgkFb8cCA/edit?usp=sharing"",""ศรีสะเกษ!J23"")"),0)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IFERROR(__xludf.DUMMYFUNCTION("IMPORTRANGE(""https://docs.google.com/spreadsheets/d/1XL5vhW3sbDhbH9Cz0tuDiY8C3ctxq1tqvaCgkFb8cCA/edit?usp=sharing"",""ศรีสะเกษ!I24"")"),1)</f>
        <v>1</v>
      </c>
      <c r="J84" s="189">
        <f ca="1">IFERROR(__xludf.DUMMYFUNCTION("IMPORTRANGE(""https://docs.google.com/spreadsheets/d/1XL5vhW3sbDhbH9Cz0tuDiY8C3ctxq1tqvaCgkFb8cCA/edit?usp=sharing"",""ศรีสะเกษ!J24"")"),1)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IFERROR(__xludf.DUMMYFUNCTION("IMPORTRANGE(""https://docs.google.com/spreadsheets/d/1XL5vhW3sbDhbH9Cz0tuDiY8C3ctxq1tqvaCgkFb8cCA/edit?usp=sharing"",""ศรีสะเกษ!I25"")"),71)</f>
        <v>71</v>
      </c>
      <c r="J85" s="189">
        <f ca="1">IFERROR(__xludf.DUMMYFUNCTION("IMPORTRANGE(""https://docs.google.com/spreadsheets/d/1XL5vhW3sbDhbH9Cz0tuDiY8C3ctxq1tqvaCgkFb8cCA/edit?usp=sharing"",""ศรีสะเกษ!J25"")"),71)</f>
        <v>71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IFERROR(__xludf.DUMMYFUNCTION("IMPORTRANGE(""https://docs.google.com/spreadsheets/d/1XL5vhW3sbDhbH9Cz0tuDiY8C3ctxq1tqvaCgkFb8cCA/edit?usp=sharing"",""ศรีสะเกษ!I26"")"),0)</f>
        <v>0</v>
      </c>
      <c r="J86" s="204">
        <f ca="1">IFERROR(__xludf.DUMMYFUNCTION("IMPORTRANGE(""https://docs.google.com/spreadsheets/d/1XL5vhW3sbDhbH9Cz0tuDiY8C3ctxq1tqvaCgkFb8cCA/edit?usp=sharing"",""ศรีสะเกษ!J26"")"),0)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IFERROR(__xludf.DUMMYFUNCTION("IMPORTRANGE(""https://docs.google.com/spreadsheets/d/1XL5vhW3sbDhbH9Cz0tuDiY8C3ctxq1tqvaCgkFb8cCA/edit?usp=sharing"",""ศรีสะเกษ!I27"")"),0)</f>
        <v>0</v>
      </c>
      <c r="J87" s="204">
        <f ca="1">IFERROR(__xludf.DUMMYFUNCTION("IMPORTRANGE(""https://docs.google.com/spreadsheets/d/1XL5vhW3sbDhbH9Cz0tuDiY8C3ctxq1tqvaCgkFb8cCA/edit?usp=sharing"",""ศรีสะเกษ!J27"")"),0)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IFERROR(__xludf.DUMMYFUNCTION("IMPORTRANGE(""https://docs.google.com/spreadsheets/d/1XL5vhW3sbDhbH9Cz0tuDiY8C3ctxq1tqvaCgkFb8cCA/edit?usp=sharing"",""ศรีสะเกษ!I28"")"),0)</f>
        <v>0</v>
      </c>
      <c r="J88" s="204">
        <f ca="1">IFERROR(__xludf.DUMMYFUNCTION("IMPORTRANGE(""https://docs.google.com/spreadsheets/d/1XL5vhW3sbDhbH9Cz0tuDiY8C3ctxq1tqvaCgkFb8cCA/edit?usp=sharing"",""ศรีสะเกษ!J28"")"),71)</f>
        <v>71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IFERROR(__xludf.DUMMYFUNCTION("IMPORTRANGE(""https://docs.google.com/spreadsheets/d/1XL5vhW3sbDhbH9Cz0tuDiY8C3ctxq1tqvaCgkFb8cCA/edit?usp=sharing"",""ศรีสะเกษ!J29"")"),0)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IFERROR(__xludf.DUMMYFUNCTION("IMPORTRANGE(""https://docs.google.com/spreadsheets/d/1XL5vhW3sbDhbH9Cz0tuDiY8C3ctxq1tqvaCgkFb8cCA/edit?usp=sharing"",""ศรีสะเกษ!J30"")"),0)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IFERROR(__xludf.DUMMYFUNCTION("IMPORTRANGE(""https://docs.google.com/spreadsheets/d/1XL5vhW3sbDhbH9Cz0tuDiY8C3ctxq1tqvaCgkFb8cCA/edit?usp=sharing"",""ศรีสะเกษ!I32"")"),0)</f>
        <v>0</v>
      </c>
      <c r="J92" s="142">
        <f ca="1">IFERROR(__xludf.DUMMYFUNCTION("IMPORTRANGE(""https://docs.google.com/spreadsheets/d/1XL5vhW3sbDhbH9Cz0tuDiY8C3ctxq1tqvaCgkFb8cCA/edit?usp=sharing"",""ศรีสะเกษ!J32"")"),0)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IFERROR(__xludf.DUMMYFUNCTION("IMPORTRANGE(""https://docs.google.com/spreadsheets/d/1XL5vhW3sbDhbH9Cz0tuDiY8C3ctxq1tqvaCgkFb8cCA/edit?usp=sharing"",""ศรีสะเกษ!I33"")"),0)</f>
        <v>0</v>
      </c>
      <c r="J93" s="142">
        <f ca="1">IFERROR(__xludf.DUMMYFUNCTION("IMPORTRANGE(""https://docs.google.com/spreadsheets/d/1XL5vhW3sbDhbH9Cz0tuDiY8C3ctxq1tqvaCgkFb8cCA/edit?usp=sharing"",""ศรีสะเกษ!J33"")"),0)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54" t="s">
        <v>17</v>
      </c>
      <c r="E94" s="555"/>
      <c r="F94" s="555"/>
      <c r="G94" s="55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52" t="s">
        <v>20</v>
      </c>
      <c r="E97" s="553"/>
      <c r="F97" s="55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537">
        <f ca="1">IFERROR(__xludf.DUMMYFUNCTION("IMPORTRANGE(""https://docs.google.com/spreadsheets/d/1Yj_ptqi66GCucihVvJfMjLAmec39IyEx_6qawtMGysU/edit?usp=sharing"",""สบก!AR50"")"),0)</f>
        <v>0</v>
      </c>
      <c r="N98" s="538">
        <f ca="1">IFERROR(__xludf.DUMMYFUNCTION("IMPORTRANGE(""https://docs.google.com/spreadsheets/d/1Yj_ptqi66GCucihVvJfMjLAmec39IyEx_6qawtMGysU/edit?usp=sharing"",""สบก!AS50"")"),0)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537">
        <f ca="1">IFERROR(__xludf.DUMMYFUNCTION("IMPORTRANGE(""https://docs.google.com/spreadsheets/d/1Yj_ptqi66GCucihVvJfMjLAmec39IyEx_6qawtMGysU/edit?usp=sharing"",""สบก!AN50"")"),0)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537">
        <f ca="1">IFERROR(__xludf.DUMMYFUNCTION("IMPORTRANGE(""https://docs.google.com/spreadsheets/d/1Yj_ptqi66GCucihVvJfMjLAmec39IyEx_6qawtMGysU/edit?usp=sharing"",""สบก!AO50"")"),0)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52" t="s">
        <v>23</v>
      </c>
      <c r="E101" s="553"/>
      <c r="F101" s="89"/>
      <c r="G101" s="82" t="s">
        <v>18</v>
      </c>
      <c r="H101" s="172" t="s">
        <v>12</v>
      </c>
      <c r="I101" s="188"/>
      <c r="J101" s="188"/>
      <c r="K101" s="224"/>
      <c r="L101" s="535">
        <v>0</v>
      </c>
      <c r="M101" s="535"/>
      <c r="N101" s="41"/>
      <c r="O101" s="535"/>
      <c r="P101" s="535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533">
        <f ca="1">IFERROR(__xludf.DUMMYFUNCTION("IMPORTRANGE(""https://docs.google.com/spreadsheets/d/1Yj_ptqi66GCucihVvJfMjLAmec39IyEx_6qawtMGysU/edit?usp=sharing"",""สบก!AP50"")"),0)</f>
        <v>0</v>
      </c>
      <c r="M102" s="536"/>
      <c r="N102" s="533">
        <f ca="1">IFERROR(__xludf.DUMMYFUNCTION("IMPORTRANGE(""https://docs.google.com/spreadsheets/d/1Yj_ptqi66GCucihVvJfMjLAmec39IyEx_6qawtMGysU/edit?usp=sharing"",""สบก!AT50"")"),0)</f>
        <v>0</v>
      </c>
      <c r="O102" s="536">
        <f ca="1">IF(L102&gt;0,N102*100/L102,0)</f>
        <v>0</v>
      </c>
      <c r="P102" s="536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IFERROR(__xludf.DUMMYFUNCTION("IMPORTRANGE(""https://docs.google.com/spreadsheets/d/1XL5vhW3sbDhbH9Cz0tuDiY8C3ctxq1tqvaCgkFb8cCA/edit?usp=sharing"",""ศรีสะเกษ!J39"")"),0)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IFERROR(__xludf.DUMMYFUNCTION("IMPORTRANGE(""https://docs.google.com/spreadsheets/d/1XL5vhW3sbDhbH9Cz0tuDiY8C3ctxq1tqvaCgkFb8cCA/edit?usp=sharing"",""ศรีสะเกษ!J40"")"),0)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IFERROR(__xludf.DUMMYFUNCTION("IMPORTRANGE(""https://docs.google.com/spreadsheets/d/1XL5vhW3sbDhbH9Cz0tuDiY8C3ctxq1tqvaCgkFb8cCA/edit?usp=sharing"",""ศรีสะเกษ!J41"")"),0)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IFERROR(__xludf.DUMMYFUNCTION("IMPORTRANGE(""https://docs.google.com/spreadsheets/d/1XL5vhW3sbDhbH9Cz0tuDiY8C3ctxq1tqvaCgkFb8cCA/edit?usp=sharing"",""ศรีสะเกษ!J42"")"),0)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IFERROR(__xludf.DUMMYFUNCTION("IMPORTRANGE(""https://docs.google.com/spreadsheets/d/1XL5vhW3sbDhbH9Cz0tuDiY8C3ctxq1tqvaCgkFb8cCA/edit?usp=sharing"",""ศรีสะเกษ!I43"")"),0)</f>
        <v>0</v>
      </c>
      <c r="J108" s="204">
        <f ca="1">IFERROR(__xludf.DUMMYFUNCTION("IMPORTRANGE(""https://docs.google.com/spreadsheets/d/1XL5vhW3sbDhbH9Cz0tuDiY8C3ctxq1tqvaCgkFb8cCA/edit?usp=sharing"",""ศรีสะเกษ!J43"")"),0)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IFERROR(__xludf.DUMMYFUNCTION("IMPORTRANGE(""https://docs.google.com/spreadsheets/d/1XL5vhW3sbDhbH9Cz0tuDiY8C3ctxq1tqvaCgkFb8cCA/edit?usp=sharing"",""ศรีสะเกษ!I44"")"),0)</f>
        <v>0</v>
      </c>
      <c r="J109" s="204">
        <f ca="1">IFERROR(__xludf.DUMMYFUNCTION("IMPORTRANGE(""https://docs.google.com/spreadsheets/d/1XL5vhW3sbDhbH9Cz0tuDiY8C3ctxq1tqvaCgkFb8cCA/edit?usp=sharing"",""ศรีสะเกษ!J44"")"),0)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IFERROR(__xludf.DUMMYFUNCTION("IMPORTRANGE(""https://docs.google.com/spreadsheets/d/1XL5vhW3sbDhbH9Cz0tuDiY8C3ctxq1tqvaCgkFb8cCA/edit?usp=sharing"",""ศรีสะเกษ!I45"")"),0)</f>
        <v>0</v>
      </c>
      <c r="J110" s="204">
        <f ca="1">IFERROR(__xludf.DUMMYFUNCTION("IMPORTRANGE(""https://docs.google.com/spreadsheets/d/1XL5vhW3sbDhbH9Cz0tuDiY8C3ctxq1tqvaCgkFb8cCA/edit?usp=sharing"",""ศรีสะเกษ!J45"")"),0)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IFERROR(__xludf.DUMMYFUNCTION("IMPORTRANGE(""https://docs.google.com/spreadsheets/d/1XL5vhW3sbDhbH9Cz0tuDiY8C3ctxq1tqvaCgkFb8cCA/edit?usp=sharing"",""ศรีสะเกษ!I46"")"),0)</f>
        <v>0</v>
      </c>
      <c r="J111" s="204">
        <f ca="1">IFERROR(__xludf.DUMMYFUNCTION("IMPORTRANGE(""https://docs.google.com/spreadsheets/d/1XL5vhW3sbDhbH9Cz0tuDiY8C3ctxq1tqvaCgkFb8cCA/edit?usp=sharing"",""ศรีสะเกษ!J46"")"),0)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IFERROR(__xludf.DUMMYFUNCTION("IMPORTRANGE(""https://docs.google.com/spreadsheets/d/1XL5vhW3sbDhbH9Cz0tuDiY8C3ctxq1tqvaCgkFb8cCA/edit?usp=sharing"",""ศรีสะเกษ!I47"")"),0)</f>
        <v>0</v>
      </c>
      <c r="J112" s="204">
        <f ca="1">IFERROR(__xludf.DUMMYFUNCTION("IMPORTRANGE(""https://docs.google.com/spreadsheets/d/1XL5vhW3sbDhbH9Cz0tuDiY8C3ctxq1tqvaCgkFb8cCA/edit?usp=sharing"",""ศรีสะเกษ!J47"")"),0)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IFERROR(__xludf.DUMMYFUNCTION("IMPORTRANGE(""https://docs.google.com/spreadsheets/d/1XL5vhW3sbDhbH9Cz0tuDiY8C3ctxq1tqvaCgkFb8cCA/edit?usp=sharing"",""ศรีสะเกษ!I48"")"),0)</f>
        <v>0</v>
      </c>
      <c r="J113" s="204">
        <f ca="1">IFERROR(__xludf.DUMMYFUNCTION("IMPORTRANGE(""https://docs.google.com/spreadsheets/d/1XL5vhW3sbDhbH9Cz0tuDiY8C3ctxq1tqvaCgkFb8cCA/edit?usp=sharing"",""ศรีสะเกษ!J48"")"),0)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IFERROR(__xludf.DUMMYFUNCTION("IMPORTRANGE(""https://docs.google.com/spreadsheets/d/1XL5vhW3sbDhbH9Cz0tuDiY8C3ctxq1tqvaCgkFb8cCA/edit?usp=sharing"",""ศรีสะเกษ!J49"")"),0)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IFERROR(__xludf.DUMMYFUNCTION("IMPORTRANGE(""https://docs.google.com/spreadsheets/d/1XL5vhW3sbDhbH9Cz0tuDiY8C3ctxq1tqvaCgkFb8cCA/edit?usp=sharing"",""ศรีสะเกษ!J50"")"),0)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IFERROR(__xludf.DUMMYFUNCTION("IMPORTRANGE(""https://docs.google.com/spreadsheets/d/1XL5vhW3sbDhbH9Cz0tuDiY8C3ctxq1tqvaCgkFb8cCA/edit?usp=sharing"",""ศรีสะเกษ!I52"")"),0)</f>
        <v>0</v>
      </c>
      <c r="J117" s="142">
        <f ca="1">IFERROR(__xludf.DUMMYFUNCTION("IMPORTRANGE(""https://docs.google.com/spreadsheets/d/1XL5vhW3sbDhbH9Cz0tuDiY8C3ctxq1tqvaCgkFb8cCA/edit?usp=sharing"",""ศรีสะเกษ!J52"")"),0)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54" t="s">
        <v>17</v>
      </c>
      <c r="E118" s="555"/>
      <c r="F118" s="555"/>
      <c r="G118" s="55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52" t="s">
        <v>20</v>
      </c>
      <c r="E121" s="553"/>
      <c r="F121" s="55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537">
        <f ca="1">IFERROR(__xludf.DUMMYFUNCTION("IMPORTRANGE(""https://docs.google.com/spreadsheets/d/1Yj_ptqi66GCucihVvJfMjLAmec39IyEx_6qawtMGysU/edit?usp=sharing"",""สบก!BA50"")"),0)</f>
        <v>0</v>
      </c>
      <c r="N122" s="538">
        <f ca="1">IFERROR(__xludf.DUMMYFUNCTION("IMPORTRANGE(""https://docs.google.com/spreadsheets/d/1Yj_ptqi66GCucihVvJfMjLAmec39IyEx_6qawtMGysU/edit?usp=sharing"",""สบก!BB50"")"),0)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537">
        <f ca="1">IFERROR(__xludf.DUMMYFUNCTION("IMPORTRANGE(""https://docs.google.com/spreadsheets/d/1Yj_ptqi66GCucihVvJfMjLAmec39IyEx_6qawtMGysU/edit?usp=sharing"",""สบก!AW50"")"),0)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537">
        <f ca="1">IFERROR(__xludf.DUMMYFUNCTION("IMPORTRANGE(""https://docs.google.com/spreadsheets/d/1Yj_ptqi66GCucihVvJfMjLAmec39IyEx_6qawtMGysU/edit?usp=sharing"",""สบก!AX50"")"),0)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52" t="s">
        <v>23</v>
      </c>
      <c r="E125" s="553"/>
      <c r="F125" s="89"/>
      <c r="G125" s="82" t="s">
        <v>18</v>
      </c>
      <c r="H125" s="172" t="s">
        <v>12</v>
      </c>
      <c r="I125" s="188"/>
      <c r="J125" s="188"/>
      <c r="K125" s="224"/>
      <c r="L125" s="535">
        <v>0</v>
      </c>
      <c r="M125" s="535"/>
      <c r="N125" s="41"/>
      <c r="O125" s="535"/>
      <c r="P125" s="535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533">
        <f ca="1">IFERROR(__xludf.DUMMYFUNCTION("IMPORTRANGE(""https://docs.google.com/spreadsheets/d/1Yj_ptqi66GCucihVvJfMjLAmec39IyEx_6qawtMGysU/edit?usp=sharing"",""สบก!AY50"")"),0)</f>
        <v>0</v>
      </c>
      <c r="M126" s="536"/>
      <c r="N126" s="533">
        <f ca="1">IFERROR(__xludf.DUMMYFUNCTION("IMPORTRANGE(""https://docs.google.com/spreadsheets/d/1Yj_ptqi66GCucihVvJfMjLAmec39IyEx_6qawtMGysU/edit?usp=sharing"",""สบก!BC50"")"),0)</f>
        <v>0</v>
      </c>
      <c r="O126" s="536">
        <f ca="1">IF(L126&gt;0,N126*100/L126,0)</f>
        <v>0</v>
      </c>
      <c r="P126" s="536"/>
    </row>
    <row r="127" spans="1:16" ht="21.75" customHeight="1" x14ac:dyDescent="0.35">
      <c r="A127" s="176"/>
      <c r="B127" s="177"/>
      <c r="C127" s="159" t="s">
        <v>16</v>
      </c>
      <c r="D127" s="233" t="s">
        <v>263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IFERROR(__xludf.DUMMYFUNCTION("IMPORTRANGE(""https://docs.google.com/spreadsheets/d/1XL5vhW3sbDhbH9Cz0tuDiY8C3ctxq1tqvaCgkFb8cCA/edit?usp=sharing"",""ศรีสะเกษ!J58"")"),0)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IFERROR(__xludf.DUMMYFUNCTION("IMPORTRANGE(""https://docs.google.com/spreadsheets/d/1XL5vhW3sbDhbH9Cz0tuDiY8C3ctxq1tqvaCgkFb8cCA/edit?usp=sharing"",""ศรีสะเกษ!J59"")"),0)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IFERROR(__xludf.DUMMYFUNCTION("IMPORTRANGE(""https://docs.google.com/spreadsheets/d/1XL5vhW3sbDhbH9Cz0tuDiY8C3ctxq1tqvaCgkFb8cCA/edit?usp=sharing"",""ศรีสะเกษ!J60"")"),0)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IFERROR(__xludf.DUMMYFUNCTION("IMPORTRANGE(""https://docs.google.com/spreadsheets/d/1XL5vhW3sbDhbH9Cz0tuDiY8C3ctxq1tqvaCgkFb8cCA/edit?usp=sharing"",""ศรีสะเกษ!J61"")"),0)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IFERROR(__xludf.DUMMYFUNCTION("IMPORTRANGE(""https://docs.google.com/spreadsheets/d/1XL5vhW3sbDhbH9Cz0tuDiY8C3ctxq1tqvaCgkFb8cCA/edit?usp=sharing"",""ศรีสะเกษ!I62"")"),0)</f>
        <v>0</v>
      </c>
      <c r="J132" s="204">
        <f ca="1">IFERROR(__xludf.DUMMYFUNCTION("IMPORTRANGE(""https://docs.google.com/spreadsheets/d/1XL5vhW3sbDhbH9Cz0tuDiY8C3ctxq1tqvaCgkFb8cCA/edit?usp=sharing"",""ศรีสะเกษ!J62"")"),0)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IFERROR(__xludf.DUMMYFUNCTION("IMPORTRANGE(""https://docs.google.com/spreadsheets/d/1XL5vhW3sbDhbH9Cz0tuDiY8C3ctxq1tqvaCgkFb8cCA/edit?usp=sharing"",""ศรีสะเกษ!I63"")"),0)</f>
        <v>0</v>
      </c>
      <c r="J133" s="204">
        <f ca="1">IFERROR(__xludf.DUMMYFUNCTION("IMPORTRANGE(""https://docs.google.com/spreadsheets/d/1XL5vhW3sbDhbH9Cz0tuDiY8C3ctxq1tqvaCgkFb8cCA/edit?usp=sharing"",""ศรีสะเกษ!J63"")"),0)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IFERROR(__xludf.DUMMYFUNCTION("IMPORTRANGE(""https://docs.google.com/spreadsheets/d/1XL5vhW3sbDhbH9Cz0tuDiY8C3ctxq1tqvaCgkFb8cCA/edit?usp=sharing"",""ศรีสะเกษ!J64"")"),0)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IFERROR(__xludf.DUMMYFUNCTION("IMPORTRANGE(""https://docs.google.com/spreadsheets/d/1XL5vhW3sbDhbH9Cz0tuDiY8C3ctxq1tqvaCgkFb8cCA/edit?usp=sharing"",""ศรีสะเกษ!J65"")"),0)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IFERROR(__xludf.DUMMYFUNCTION("IMPORTRANGE(""https://docs.google.com/spreadsheets/d/1XL5vhW3sbDhbH9Cz0tuDiY8C3ctxq1tqvaCgkFb8cCA/edit?usp=sharing"",""ศรีสะเกษ!I68"")"),0)</f>
        <v>0</v>
      </c>
      <c r="J138" s="267">
        <f ca="1">IFERROR(__xludf.DUMMYFUNCTION("IMPORTRANGE(""https://docs.google.com/spreadsheets/d/1XL5vhW3sbDhbH9Cz0tuDiY8C3ctxq1tqvaCgkFb8cCA/edit?usp=sharing"",""ศรีสะเกษ!J68"")"),0)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54" t="s">
        <v>17</v>
      </c>
      <c r="E140" s="555"/>
      <c r="F140" s="555"/>
      <c r="G140" s="555"/>
      <c r="H140" s="149" t="s">
        <v>12</v>
      </c>
      <c r="I140" s="162"/>
      <c r="J140" s="162"/>
      <c r="K140" s="163"/>
      <c r="L140" s="152">
        <f t="shared" ref="L140:N140" ca="1" si="64">L141+L142</f>
        <v>86000</v>
      </c>
      <c r="M140" s="152">
        <f t="shared" ca="1" si="64"/>
        <v>84625</v>
      </c>
      <c r="N140" s="152">
        <f t="shared" ca="1" si="64"/>
        <v>67634</v>
      </c>
      <c r="O140" s="151">
        <f t="shared" ref="O140:O142" ca="1" si="65">IF(L140&gt;0,N140*100/L140,0)</f>
        <v>78.644186046511635</v>
      </c>
      <c r="P140" s="151">
        <f t="shared" ref="P140:P142" ca="1" si="66">IF(M140&gt;0,N140*100/M140,0)</f>
        <v>79.922008862629241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86000</v>
      </c>
      <c r="M142" s="157">
        <f t="shared" ca="1" si="68"/>
        <v>84625</v>
      </c>
      <c r="N142" s="157">
        <f t="shared" ca="1" si="68"/>
        <v>67634</v>
      </c>
      <c r="O142" s="156">
        <f t="shared" ca="1" si="65"/>
        <v>78.644186046511635</v>
      </c>
      <c r="P142" s="156">
        <f t="shared" ca="1" si="66"/>
        <v>79.922008862629241</v>
      </c>
    </row>
    <row r="143" spans="1:16" ht="21.75" customHeight="1" x14ac:dyDescent="0.45">
      <c r="A143" s="158"/>
      <c r="B143" s="159"/>
      <c r="C143" s="159" t="s">
        <v>16</v>
      </c>
      <c r="D143" s="552" t="s">
        <v>20</v>
      </c>
      <c r="E143" s="553"/>
      <c r="F143" s="55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86000</v>
      </c>
      <c r="M144" s="537">
        <f ca="1">IFERROR(__xludf.DUMMYFUNCTION("IMPORTRANGE(""https://docs.google.com/spreadsheets/d/1Yj_ptqi66GCucihVvJfMjLAmec39IyEx_6qawtMGysU/edit?usp=sharing"",""สบก!BJ50"")"),84625)</f>
        <v>84625</v>
      </c>
      <c r="N144" s="538">
        <f ca="1">IFERROR(__xludf.DUMMYFUNCTION("IMPORTRANGE(""https://docs.google.com/spreadsheets/d/1Yj_ptqi66GCucihVvJfMjLAmec39IyEx_6qawtMGysU/edit?usp=sharing"",""สบก!BK50"")"),67634)</f>
        <v>67634</v>
      </c>
      <c r="O144" s="169">
        <f ca="1">IF(L144&gt;0,N144*100/L144,0)</f>
        <v>78.644186046511635</v>
      </c>
      <c r="P144" s="169">
        <f ca="1">IF(M144&gt;0,N144*100/M144,0)</f>
        <v>79.922008862629241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537">
        <f ca="1">IFERROR(__xludf.DUMMYFUNCTION("IMPORTRANGE(""https://docs.google.com/spreadsheets/d/1Yj_ptqi66GCucihVvJfMjLAmec39IyEx_6qawtMGysU/edit?usp=sharing"",""สบก!BF50"")"),0)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537">
        <f ca="1">IFERROR(__xludf.DUMMYFUNCTION("IMPORTRANGE(""https://docs.google.com/spreadsheets/d/1Yj_ptqi66GCucihVvJfMjLAmec39IyEx_6qawtMGysU/edit?usp=sharing"",""สบก!BG50"")"),86000)</f>
        <v>86000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52" t="s">
        <v>23</v>
      </c>
      <c r="E147" s="553"/>
      <c r="F147" s="89"/>
      <c r="G147" s="82" t="s">
        <v>18</v>
      </c>
      <c r="H147" s="172" t="s">
        <v>12</v>
      </c>
      <c r="I147" s="188"/>
      <c r="J147" s="188"/>
      <c r="K147" s="224"/>
      <c r="L147" s="535">
        <v>0</v>
      </c>
      <c r="M147" s="535"/>
      <c r="N147" s="41"/>
      <c r="O147" s="535"/>
      <c r="P147" s="535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533">
        <f ca="1">IFERROR(__xludf.DUMMYFUNCTION("IMPORTRANGE(""https://docs.google.com/spreadsheets/d/1Yj_ptqi66GCucihVvJfMjLAmec39IyEx_6qawtMGysU/edit?usp=sharing"",""สบก!BH50"")"),0)</f>
        <v>0</v>
      </c>
      <c r="M148" s="536"/>
      <c r="N148" s="533">
        <f ca="1">IFERROR(__xludf.DUMMYFUNCTION("IMPORTRANGE(""https://docs.google.com/spreadsheets/d/1Yj_ptqi66GCucihVvJfMjLAmec39IyEx_6qawtMGysU/edit?usp=sharing"",""สบก!BL50"")"),0)</f>
        <v>0</v>
      </c>
      <c r="O148" s="536">
        <f ca="1">IF(L148&gt;0,N148*100/L148,0)</f>
        <v>0</v>
      </c>
      <c r="P148" s="536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IFERROR(__xludf.DUMMYFUNCTION("IMPORTRANGE(""https://docs.google.com/spreadsheets/d/1XL5vhW3sbDhbH9Cz0tuDiY8C3ctxq1tqvaCgkFb8cCA/edit?usp=sharing"",""ศรีสะเกษ!I74"")"),4)</f>
        <v>4</v>
      </c>
      <c r="J149" s="275">
        <f ca="1">IFERROR(__xludf.DUMMYFUNCTION("IMPORTRANGE(""https://docs.google.com/spreadsheets/d/1XL5vhW3sbDhbH9Cz0tuDiY8C3ctxq1tqvaCgkFb8cCA/edit?usp=sharing"",""ศรีสะเกษ!J74"")"),2)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IFERROR(__xludf.DUMMYFUNCTION("IMPORTRANGE(""https://docs.google.com/spreadsheets/d/1XL5vhW3sbDhbH9Cz0tuDiY8C3ctxq1tqvaCgkFb8cCA/edit?usp=sharing"",""ศรีสะเกษ!J79"")"),0)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IFERROR(__xludf.DUMMYFUNCTION("IMPORTRANGE(""https://docs.google.com/spreadsheets/d/1XL5vhW3sbDhbH9Cz0tuDiY8C3ctxq1tqvaCgkFb8cCA/edit?usp=sharing"",""ศรีสะเกษ!J80"")"),1)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IFERROR(__xludf.DUMMYFUNCTION("IMPORTRANGE(""https://docs.google.com/spreadsheets/d/1XL5vhW3sbDhbH9Cz0tuDiY8C3ctxq1tqvaCgkFb8cCA/edit?usp=sharing"",""ศรีสะเกษ!J81"")"),1)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IFERROR(__xludf.DUMMYFUNCTION("IMPORTRANGE(""https://docs.google.com/spreadsheets/d/1XL5vhW3sbDhbH9Cz0tuDiY8C3ctxq1tqvaCgkFb8cCA/edit?usp=sharing"",""ศรีสะเกษ!J82"")"),1)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IFERROR(__xludf.DUMMYFUNCTION("IMPORTRANGE(""https://docs.google.com/spreadsheets/d/1XL5vhW3sbDhbH9Cz0tuDiY8C3ctxq1tqvaCgkFb8cCA/edit?usp=sharing"",""ศรีสะเกษ!I83"")"),4)</f>
        <v>4</v>
      </c>
      <c r="J158" s="189">
        <f ca="1">IFERROR(__xludf.DUMMYFUNCTION("IMPORTRANGE(""https://docs.google.com/spreadsheets/d/1XL5vhW3sbDhbH9Cz0tuDiY8C3ctxq1tqvaCgkFb8cCA/edit?usp=sharing"",""ศรีสะเกษ!J83"")"),2)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IFERROR(__xludf.DUMMYFUNCTION("IMPORTRANGE(""https://docs.google.com/spreadsheets/d/1XL5vhW3sbDhbH9Cz0tuDiY8C3ctxq1tqvaCgkFb8cCA/edit?usp=sharing"",""ศรีสะเกษ!J84"")"),23)</f>
        <v>23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IFERROR(__xludf.DUMMYFUNCTION("IMPORTRANGE(""https://docs.google.com/spreadsheets/d/1XL5vhW3sbDhbH9Cz0tuDiY8C3ctxq1tqvaCgkFb8cCA/edit?usp=sharing"",""ศรีสะเกษ!J85"")"),23)</f>
        <v>23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IFERROR(__xludf.DUMMYFUNCTION("IMPORTRANGE(""https://docs.google.com/spreadsheets/d/1XL5vhW3sbDhbH9Cz0tuDiY8C3ctxq1tqvaCgkFb8cCA/edit?usp=sharing"",""ศรีสะเกษ!J86"")"),0)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IFERROR(__xludf.DUMMYFUNCTION("IMPORTRANGE(""https://docs.google.com/spreadsheets/d/1XL5vhW3sbDhbH9Cz0tuDiY8C3ctxq1tqvaCgkFb8cCA/edit?usp=sharing"",""ศรีสะเกษ!J87"")"),0)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IFERROR(__xludf.DUMMYFUNCTION("IMPORTRANGE(""https://docs.google.com/spreadsheets/d/1XL5vhW3sbDhbH9Cz0tuDiY8C3ctxq1tqvaCgkFb8cCA/edit?usp=sharing"",""ศรีสะเกษ!J88"")"),0)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IFERROR(__xludf.DUMMYFUNCTION("IMPORTRANGE(""https://docs.google.com/spreadsheets/d/1XL5vhW3sbDhbH9Cz0tuDiY8C3ctxq1tqvaCgkFb8cCA/edit?usp=sharing"",""ศรีสะเกษ!I89"")"),4)</f>
        <v>4</v>
      </c>
      <c r="J164" s="284">
        <f ca="1">IFERROR(__xludf.DUMMYFUNCTION("IMPORTRANGE(""https://docs.google.com/spreadsheets/d/1XL5vhW3sbDhbH9Cz0tuDiY8C3ctxq1tqvaCgkFb8cCA/edit?usp=sharing"",""ศรีสะเกษ!J89"")"),4)</f>
        <v>4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IFERROR(__xludf.DUMMYFUNCTION("IMPORTRANGE(""https://docs.google.com/spreadsheets/d/1XL5vhW3sbDhbH9Cz0tuDiY8C3ctxq1tqvaCgkFb8cCA/edit?usp=sharing"",""ศรีสะเกษ!J94"")"),0)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IFERROR(__xludf.DUMMYFUNCTION("IMPORTRANGE(""https://docs.google.com/spreadsheets/d/1XL5vhW3sbDhbH9Cz0tuDiY8C3ctxq1tqvaCgkFb8cCA/edit?usp=sharing"",""ศรีสะเกษ!J95"")"),1)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IFERROR(__xludf.DUMMYFUNCTION("IMPORTRANGE(""https://docs.google.com/spreadsheets/d/1XL5vhW3sbDhbH9Cz0tuDiY8C3ctxq1tqvaCgkFb8cCA/edit?usp=sharing"",""ศรีสะเกษ!J96"")"),0)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IFERROR(__xludf.DUMMYFUNCTION("IMPORTRANGE(""https://docs.google.com/spreadsheets/d/1XL5vhW3sbDhbH9Cz0tuDiY8C3ctxq1tqvaCgkFb8cCA/edit?usp=sharing"",""ศรีสะเกษ!J97"")"),0)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IFERROR(__xludf.DUMMYFUNCTION("IMPORTRANGE(""https://docs.google.com/spreadsheets/d/1XL5vhW3sbDhbH9Cz0tuDiY8C3ctxq1tqvaCgkFb8cCA/edit?usp=sharing"",""ศรีสะเกษ!I98"")"),4)</f>
        <v>4</v>
      </c>
      <c r="J173" s="189">
        <f ca="1">IFERROR(__xludf.DUMMYFUNCTION("IMPORTRANGE(""https://docs.google.com/spreadsheets/d/1XL5vhW3sbDhbH9Cz0tuDiY8C3ctxq1tqvaCgkFb8cCA/edit?usp=sharing"",""ศรีสะเกษ!J98"")"),4)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IFERROR(__xludf.DUMMYFUNCTION("IMPORTRANGE(""https://docs.google.com/spreadsheets/d/1XL5vhW3sbDhbH9Cz0tuDiY8C3ctxq1tqvaCgkFb8cCA/edit?usp=sharing"",""ศรีสะเกษ!J99"")"),0)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IFERROR(__xludf.DUMMYFUNCTION("IMPORTRANGE(""https://docs.google.com/spreadsheets/d/1XL5vhW3sbDhbH9Cz0tuDiY8C3ctxq1tqvaCgkFb8cCA/edit?usp=sharing"",""ศรีสะเกษ!J100"")"),0)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IFERROR(__xludf.DUMMYFUNCTION("IMPORTRANGE(""https://docs.google.com/spreadsheets/d/1XL5vhW3sbDhbH9Cz0tuDiY8C3ctxq1tqvaCgkFb8cCA/edit?usp=sharing"",""ศรีสะเกษ!I101"")"),1)</f>
        <v>1</v>
      </c>
      <c r="J176" s="284">
        <f ca="1">IFERROR(__xludf.DUMMYFUNCTION("IMPORTRANGE(""https://docs.google.com/spreadsheets/d/1XL5vhW3sbDhbH9Cz0tuDiY8C3ctxq1tqvaCgkFb8cCA/edit?usp=sharing"",""ศรีสะเกษ!J101"")"),1)</f>
        <v>1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IFERROR(__xludf.DUMMYFUNCTION("IMPORTRANGE(""https://docs.google.com/spreadsheets/d/1XL5vhW3sbDhbH9Cz0tuDiY8C3ctxq1tqvaCgkFb8cCA/edit?usp=sharing"",""ศรีสะเกษ!J106"")"),0)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IFERROR(__xludf.DUMMYFUNCTION("IMPORTRANGE(""https://docs.google.com/spreadsheets/d/1XL5vhW3sbDhbH9Cz0tuDiY8C3ctxq1tqvaCgkFb8cCA/edit?usp=sharing"",""ศรีสะเกษ!J107"")"),1)</f>
        <v>1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IFERROR(__xludf.DUMMYFUNCTION("IMPORTRANGE(""https://docs.google.com/spreadsheets/d/1XL5vhW3sbDhbH9Cz0tuDiY8C3ctxq1tqvaCgkFb8cCA/edit?usp=sharing"",""ศรีสะเกษ!J108"")"),0)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IFERROR(__xludf.DUMMYFUNCTION("IMPORTRANGE(""https://docs.google.com/spreadsheets/d/1XL5vhW3sbDhbH9Cz0tuDiY8C3ctxq1tqvaCgkFb8cCA/edit?usp=sharing"",""ศรีสะเกษ!J109"")"),1)</f>
        <v>1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IFERROR(__xludf.DUMMYFUNCTION("IMPORTRANGE(""https://docs.google.com/spreadsheets/d/1XL5vhW3sbDhbH9Cz0tuDiY8C3ctxq1tqvaCgkFb8cCA/edit?usp=sharing"",""ศรีสะเกษ!I110"")"),1)</f>
        <v>1</v>
      </c>
      <c r="J185" s="204">
        <f ca="1">IFERROR(__xludf.DUMMYFUNCTION("IMPORTRANGE(""https://docs.google.com/spreadsheets/d/1XL5vhW3sbDhbH9Cz0tuDiY8C3ctxq1tqvaCgkFb8cCA/edit?usp=sharing"",""ศรีสะเกษ!J110"")"),0)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IFERROR(__xludf.DUMMYFUNCTION("IMPORTRANGE(""https://docs.google.com/spreadsheets/d/1XL5vhW3sbDhbH9Cz0tuDiY8C3ctxq1tqvaCgkFb8cCA/edit?usp=sharing"",""ศรีสะเกษ!I111"")"),1)</f>
        <v>1</v>
      </c>
      <c r="J186" s="204">
        <f ca="1">IFERROR(__xludf.DUMMYFUNCTION("IMPORTRANGE(""https://docs.google.com/spreadsheets/d/1XL5vhW3sbDhbH9Cz0tuDiY8C3ctxq1tqvaCgkFb8cCA/edit?usp=sharing"",""ศรีสะเกษ!J111"")"),1)</f>
        <v>1</v>
      </c>
      <c r="K186" s="224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IFERROR(__xludf.DUMMYFUNCTION("IMPORTRANGE(""https://docs.google.com/spreadsheets/d/1XL5vhW3sbDhbH9Cz0tuDiY8C3ctxq1tqvaCgkFb8cCA/edit?usp=sharing"",""ศรีสะเกษ!J112"")"),0)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IFERROR(__xludf.DUMMYFUNCTION("IMPORTRANGE(""https://docs.google.com/spreadsheets/d/1XL5vhW3sbDhbH9Cz0tuDiY8C3ctxq1tqvaCgkFb8cCA/edit?usp=sharing"",""ศรีสะเกษ!J113"")"),0)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IFERROR(__xludf.DUMMYFUNCTION("IMPORTRANGE(""https://docs.google.com/spreadsheets/d/1XL5vhW3sbDhbH9Cz0tuDiY8C3ctxq1tqvaCgkFb8cCA/edit?usp=sharing"",""ศรีสะเกษ!I114"")"),10000)</f>
        <v>10000</v>
      </c>
      <c r="J189" s="284">
        <f ca="1">IFERROR(__xludf.DUMMYFUNCTION("IMPORTRANGE(""https://docs.google.com/spreadsheets/d/1XL5vhW3sbDhbH9Cz0tuDiY8C3ctxq1tqvaCgkFb8cCA/edit?usp=sharing"",""ศรีสะเกษ!J114"")"),0)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IFERROR(__xludf.DUMMYFUNCTION("IMPORTRANGE(""https://docs.google.com/spreadsheets/d/1XL5vhW3sbDhbH9Cz0tuDiY8C3ctxq1tqvaCgkFb8cCA/edit?usp=sharing"",""ศรีสะเกษ!J119"")"),0)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IFERROR(__xludf.DUMMYFUNCTION("IMPORTRANGE(""https://docs.google.com/spreadsheets/d/1XL5vhW3sbDhbH9Cz0tuDiY8C3ctxq1tqvaCgkFb8cCA/edit?usp=sharing"",""ศรีสะเกษ!J120"")"),1)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IFERROR(__xludf.DUMMYFUNCTION("IMPORTRANGE(""https://docs.google.com/spreadsheets/d/1XL5vhW3sbDhbH9Cz0tuDiY8C3ctxq1tqvaCgkFb8cCA/edit?usp=sharing"",""ศรีสะเกษ!J121"")"),1)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IFERROR(__xludf.DUMMYFUNCTION("IMPORTRANGE(""https://docs.google.com/spreadsheets/d/1XL5vhW3sbDhbH9Cz0tuDiY8C3ctxq1tqvaCgkFb8cCA/edit?usp=sharing"",""ศรีสะเกษ!J122"")"),0)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IFERROR(__xludf.DUMMYFUNCTION("IMPORTRANGE(""https://docs.google.com/spreadsheets/d/1XL5vhW3sbDhbH9Cz0tuDiY8C3ctxq1tqvaCgkFb8cCA/edit?usp=sharing"",""ศรีสะเกษ!I124"")"),10000)</f>
        <v>10000</v>
      </c>
      <c r="J199" s="189">
        <f ca="1">IFERROR(__xludf.DUMMYFUNCTION("IMPORTRANGE(""https://docs.google.com/spreadsheets/d/1XL5vhW3sbDhbH9Cz0tuDiY8C3ctxq1tqvaCgkFb8cCA/edit?usp=sharing"",""ศรีสะเกษ!J124"")"),0)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IFERROR(__xludf.DUMMYFUNCTION("IMPORTRANGE(""https://docs.google.com/spreadsheets/d/1XL5vhW3sbDhbH9Cz0tuDiY8C3ctxq1tqvaCgkFb8cCA/edit?usp=sharing"",""ศรีสะเกษ!I125"")"),10000)</f>
        <v>10000</v>
      </c>
      <c r="J200" s="189">
        <f ca="1">IFERROR(__xludf.DUMMYFUNCTION("IMPORTRANGE(""https://docs.google.com/spreadsheets/d/1XL5vhW3sbDhbH9Cz0tuDiY8C3ctxq1tqvaCgkFb8cCA/edit?usp=sharing"",""ศรีสะเกษ!J125"")"),0)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IFERROR(__xludf.DUMMYFUNCTION("IMPORTRANGE(""https://docs.google.com/spreadsheets/d/1XL5vhW3sbDhbH9Cz0tuDiY8C3ctxq1tqvaCgkFb8cCA/edit?usp=sharing"",""ศรีสะเกษ!I126"")"),0)</f>
        <v>0</v>
      </c>
      <c r="J201" s="189">
        <f ca="1">IFERROR(__xludf.DUMMYFUNCTION("IMPORTRANGE(""https://docs.google.com/spreadsheets/d/1XL5vhW3sbDhbH9Cz0tuDiY8C3ctxq1tqvaCgkFb8cCA/edit?usp=sharing"",""ศรีสะเกษ!J126"")"),0)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IFERROR(__xludf.DUMMYFUNCTION("IMPORTRANGE(""https://docs.google.com/spreadsheets/d/1XL5vhW3sbDhbH9Cz0tuDiY8C3ctxq1tqvaCgkFb8cCA/edit?usp=sharing"",""ศรีสะเกษ!J127"")"),0)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IFERROR(__xludf.DUMMYFUNCTION("IMPORTRANGE(""https://docs.google.com/spreadsheets/d/1XL5vhW3sbDhbH9Cz0tuDiY8C3ctxq1tqvaCgkFb8cCA/edit?usp=sharing"",""ศรีสะเกษ!J128"")"),0)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IFERROR(__xludf.DUMMYFUNCTION("IMPORTRANGE(""https://docs.google.com/spreadsheets/d/1XL5vhW3sbDhbH9Cz0tuDiY8C3ctxq1tqvaCgkFb8cCA/edit?usp=sharing"",""ศรีสะเกษ!I129"")"),0)</f>
        <v>0</v>
      </c>
      <c r="J204" s="284">
        <f ca="1">IFERROR(__xludf.DUMMYFUNCTION("IMPORTRANGE(""https://docs.google.com/spreadsheets/d/1XL5vhW3sbDhbH9Cz0tuDiY8C3ctxq1tqvaCgkFb8cCA/edit?usp=sharing"",""ศรีสะเกษ!J129"")"),0)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IFERROR(__xludf.DUMMYFUNCTION("IMPORTRANGE(""https://docs.google.com/spreadsheets/d/1XL5vhW3sbDhbH9Cz0tuDiY8C3ctxq1tqvaCgkFb8cCA/edit?usp=sharing"",""ศรีสะเกษ!J134"")"),0)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IFERROR(__xludf.DUMMYFUNCTION("IMPORTRANGE(""https://docs.google.com/spreadsheets/d/1XL5vhW3sbDhbH9Cz0tuDiY8C3ctxq1tqvaCgkFb8cCA/edit?usp=sharing"",""ศรีสะเกษ!J135"")"),0)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IFERROR(__xludf.DUMMYFUNCTION("IMPORTRANGE(""https://docs.google.com/spreadsheets/d/1XL5vhW3sbDhbH9Cz0tuDiY8C3ctxq1tqvaCgkFb8cCA/edit?usp=sharing"",""ศรีสะเกษ!J136"")"),0)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IFERROR(__xludf.DUMMYFUNCTION("IMPORTRANGE(""https://docs.google.com/spreadsheets/d/1XL5vhW3sbDhbH9Cz0tuDiY8C3ctxq1tqvaCgkFb8cCA/edit?usp=sharing"",""ศรีสะเกษ!J137"")"),0)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IFERROR(__xludf.DUMMYFUNCTION("IMPORTRANGE(""https://docs.google.com/spreadsheets/d/1XL5vhW3sbDhbH9Cz0tuDiY8C3ctxq1tqvaCgkFb8cCA/edit?usp=sharing"",""ศรีสะเกษ!I138"")"),0)</f>
        <v>0</v>
      </c>
      <c r="J213" s="204">
        <f ca="1">IFERROR(__xludf.DUMMYFUNCTION("IMPORTRANGE(""https://docs.google.com/spreadsheets/d/1XL5vhW3sbDhbH9Cz0tuDiY8C3ctxq1tqvaCgkFb8cCA/edit?usp=sharing"",""ศรีสะเกษ!J138"")"),0)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IFERROR(__xludf.DUMMYFUNCTION("IMPORTRANGE(""https://docs.google.com/spreadsheets/d/1XL5vhW3sbDhbH9Cz0tuDiY8C3ctxq1tqvaCgkFb8cCA/edit?usp=sharing"",""ศรีสะเกษ!I140"")"),0)</f>
        <v>0</v>
      </c>
      <c r="J215" s="204">
        <f ca="1">IFERROR(__xludf.DUMMYFUNCTION("IMPORTRANGE(""https://docs.google.com/spreadsheets/d/1XL5vhW3sbDhbH9Cz0tuDiY8C3ctxq1tqvaCgkFb8cCA/edit?usp=sharing"",""ศรีสะเกษ!J140"")"),0)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IFERROR(__xludf.DUMMYFUNCTION("IMPORTRANGE(""https://docs.google.com/spreadsheets/d/1XL5vhW3sbDhbH9Cz0tuDiY8C3ctxq1tqvaCgkFb8cCA/edit?usp=sharing"",""ศรีสะเกษ!I141"")"),0)</f>
        <v>0</v>
      </c>
      <c r="J216" s="204">
        <f ca="1">IFERROR(__xludf.DUMMYFUNCTION("IMPORTRANGE(""https://docs.google.com/spreadsheets/d/1XL5vhW3sbDhbH9Cz0tuDiY8C3ctxq1tqvaCgkFb8cCA/edit?usp=sharing"",""ศรีสะเกษ!J141"")"),0)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IFERROR(__xludf.DUMMYFUNCTION("IMPORTRANGE(""https://docs.google.com/spreadsheets/d/1XL5vhW3sbDhbH9Cz0tuDiY8C3ctxq1tqvaCgkFb8cCA/edit?usp=sharing"",""ศรีสะเกษ!J142"")"),0)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IFERROR(__xludf.DUMMYFUNCTION("IMPORTRANGE(""https://docs.google.com/spreadsheets/d/1XL5vhW3sbDhbH9Cz0tuDiY8C3ctxq1tqvaCgkFb8cCA/edit?usp=sharing"",""ศรีสะเกษ!J143"")"),0)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IFERROR(__xludf.DUMMYFUNCTION("IMPORTRANGE(""https://docs.google.com/spreadsheets/d/1XL5vhW3sbDhbH9Cz0tuDiY8C3ctxq1tqvaCgkFb8cCA/edit?usp=sharing"",""ศรีสะเกษ!I144"")"),15)</f>
        <v>15</v>
      </c>
      <c r="J219" s="267">
        <f ca="1">IFERROR(__xludf.DUMMYFUNCTION("IMPORTRANGE(""https://docs.google.com/spreadsheets/d/1XL5vhW3sbDhbH9Cz0tuDiY8C3ctxq1tqvaCgkFb8cCA/edit?usp=sharing"",""ศรีสะเกษ!J144"")"),15)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54" t="s">
        <v>17</v>
      </c>
      <c r="E220" s="555"/>
      <c r="F220" s="555"/>
      <c r="G220" s="55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52" t="s">
        <v>20</v>
      </c>
      <c r="E223" s="553"/>
      <c r="F223" s="55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537">
        <f ca="1">IFERROR(__xludf.DUMMYFUNCTION("IMPORTRANGE(""https://docs.google.com/spreadsheets/d/1Yj_ptqi66GCucihVvJfMjLAmec39IyEx_6qawtMGysU/edit?usp=sharing"",""สบก!BS50"")"),21125)</f>
        <v>21125</v>
      </c>
      <c r="N224" s="538">
        <f ca="1">IFERROR(__xludf.DUMMYFUNCTION("IMPORTRANGE(""https://docs.google.com/spreadsheets/d/1Yj_ptqi66GCucihVvJfMjLAmec39IyEx_6qawtMGysU/edit?usp=sharing"",""สบก!BT50"")"),21125)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537">
        <f ca="1">IFERROR(__xludf.DUMMYFUNCTION("IMPORTRANGE(""https://docs.google.com/spreadsheets/d/1Yj_ptqi66GCucihVvJfMjLAmec39IyEx_6qawtMGysU/edit?usp=sharing"",""สบก!BO50"")"),0)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537">
        <f ca="1">IFERROR(__xludf.DUMMYFUNCTION("IMPORTRANGE(""https://docs.google.com/spreadsheets/d/1Yj_ptqi66GCucihVvJfMjLAmec39IyEx_6qawtMGysU/edit?usp=sharing"",""สบก!BP50"")"),21125)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52" t="s">
        <v>23</v>
      </c>
      <c r="E227" s="553"/>
      <c r="F227" s="89"/>
      <c r="G227" s="82" t="s">
        <v>18</v>
      </c>
      <c r="H227" s="172" t="s">
        <v>12</v>
      </c>
      <c r="I227" s="201"/>
      <c r="J227" s="201"/>
      <c r="K227" s="290"/>
      <c r="L227" s="535">
        <v>0</v>
      </c>
      <c r="M227" s="535"/>
      <c r="N227" s="41"/>
      <c r="O227" s="535"/>
      <c r="P227" s="535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533">
        <f ca="1">IFERROR(__xludf.DUMMYFUNCTION("IMPORTRANGE(""https://docs.google.com/spreadsheets/d/1Yj_ptqi66GCucihVvJfMjLAmec39IyEx_6qawtMGysU/edit?usp=sharing"",""สบก!BQ50"")"),0)</f>
        <v>0</v>
      </c>
      <c r="M228" s="536"/>
      <c r="N228" s="533">
        <f ca="1">IFERROR(__xludf.DUMMYFUNCTION("IMPORTRANGE(""https://docs.google.com/spreadsheets/d/1Yj_ptqi66GCucihVvJfMjLAmec39IyEx_6qawtMGysU/edit?usp=sharing"",""สบก!BU50"")"),0)</f>
        <v>0</v>
      </c>
      <c r="O228" s="536">
        <f ca="1">IF(L228&gt;0,N228*100/L228,0)</f>
        <v>0</v>
      </c>
      <c r="P228" s="536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IFERROR(__xludf.DUMMYFUNCTION("IMPORTRANGE(""https://docs.google.com/spreadsheets/d/1XL5vhW3sbDhbH9Cz0tuDiY8C3ctxq1tqvaCgkFb8cCA/edit?usp=sharing"",""ศรีสะเกษ!I149"")"),15)</f>
        <v>15</v>
      </c>
      <c r="J229" s="267">
        <f ca="1">IFERROR(__xludf.DUMMYFUNCTION("IMPORTRANGE(""https://docs.google.com/spreadsheets/d/1XL5vhW3sbDhbH9Cz0tuDiY8C3ctxq1tqvaCgkFb8cCA/edit?usp=sharing"",""ศรีสะเกษ!J149"")"),15)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IFERROR(__xludf.DUMMYFUNCTION("IMPORTRANGE(""https://docs.google.com/spreadsheets/d/1XL5vhW3sbDhbH9Cz0tuDiY8C3ctxq1tqvaCgkFb8cCA/edit?usp=sharing"",""ศรีสะเกษ!J151"")"),0)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IFERROR(__xludf.DUMMYFUNCTION("IMPORTRANGE(""https://docs.google.com/spreadsheets/d/1XL5vhW3sbDhbH9Cz0tuDiY8C3ctxq1tqvaCgkFb8cCA/edit?usp=sharing"",""ศรีสะเกษ!J152"")"),1)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IFERROR(__xludf.DUMMYFUNCTION("IMPORTRANGE(""https://docs.google.com/spreadsheets/d/1XL5vhW3sbDhbH9Cz0tuDiY8C3ctxq1tqvaCgkFb8cCA/edit?usp=sharing"",""ศรีสะเกษ!J153"")"),1)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IFERROR(__xludf.DUMMYFUNCTION("IMPORTRANGE(""https://docs.google.com/spreadsheets/d/1XL5vhW3sbDhbH9Cz0tuDiY8C3ctxq1tqvaCgkFb8cCA/edit?usp=sharing"",""ศรีสะเกษ!J154"")"),0)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IFERROR(__xludf.DUMMYFUNCTION("IMPORTRANGE(""https://docs.google.com/spreadsheets/d/1XL5vhW3sbDhbH9Cz0tuDiY8C3ctxq1tqvaCgkFb8cCA/edit?usp=sharing"",""ศรีสะเกษ!I155"")"),15)</f>
        <v>15</v>
      </c>
      <c r="J235" s="189">
        <f ca="1">IFERROR(__xludf.DUMMYFUNCTION("IMPORTRANGE(""https://docs.google.com/spreadsheets/d/1XL5vhW3sbDhbH9Cz0tuDiY8C3ctxq1tqvaCgkFb8cCA/edit?usp=sharing"",""ศรีสะเกษ!J155"")"),15)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IFERROR(__xludf.DUMMYFUNCTION("IMPORTRANGE(""https://docs.google.com/spreadsheets/d/1XL5vhW3sbDhbH9Cz0tuDiY8C3ctxq1tqvaCgkFb8cCA/edit?usp=sharing"",""ศรีสะเกษ!J156"")"),0)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IFERROR(__xludf.DUMMYFUNCTION("IMPORTRANGE(""https://docs.google.com/spreadsheets/d/1XL5vhW3sbDhbH9Cz0tuDiY8C3ctxq1tqvaCgkFb8cCA/edit?usp=sharing"",""ศรีสะเกษ!J157"")"),0)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IFERROR(__xludf.DUMMYFUNCTION("IMPORTRANGE(""https://docs.google.com/spreadsheets/d/1XL5vhW3sbDhbH9Cz0tuDiY8C3ctxq1tqvaCgkFb8cCA/edit?usp=sharing"",""ศรีสะเกษ!I158"")"),0)</f>
        <v>0</v>
      </c>
      <c r="J238" s="267">
        <f ca="1">IFERROR(__xludf.DUMMYFUNCTION("IMPORTRANGE(""https://docs.google.com/spreadsheets/d/1XL5vhW3sbDhbH9Cz0tuDiY8C3ctxq1tqvaCgkFb8cCA/edit?usp=sharing"",""ศรีสะเกษ!J158"")"),0)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IFERROR(__xludf.DUMMYFUNCTION("IMPORTRANGE(""https://docs.google.com/spreadsheets/d/1XL5vhW3sbDhbH9Cz0tuDiY8C3ctxq1tqvaCgkFb8cCA/edit?usp=sharing"",""ศรีสะเกษ!J159"")"),"")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IFERROR(__xludf.DUMMYFUNCTION("IMPORTRANGE(""https://docs.google.com/spreadsheets/d/1XL5vhW3sbDhbH9Cz0tuDiY8C3ctxq1tqvaCgkFb8cCA/edit?usp=sharing"",""ศรีสะเกษ!J161"")"),0)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IFERROR(__xludf.DUMMYFUNCTION("IMPORTRANGE(""https://docs.google.com/spreadsheets/d/1XL5vhW3sbDhbH9Cz0tuDiY8C3ctxq1tqvaCgkFb8cCA/edit?usp=sharing"",""ศรีสะเกษ!J162"")"),0)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IFERROR(__xludf.DUMMYFUNCTION("IMPORTRANGE(""https://docs.google.com/spreadsheets/d/1XL5vhW3sbDhbH9Cz0tuDiY8C3ctxq1tqvaCgkFb8cCA/edit?usp=sharing"",""ศรีสะเกษ!J163"")"),0)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IFERROR(__xludf.DUMMYFUNCTION("IMPORTRANGE(""https://docs.google.com/spreadsheets/d/1XL5vhW3sbDhbH9Cz0tuDiY8C3ctxq1tqvaCgkFb8cCA/edit?usp=sharing"",""ศรีสะเกษ!I164"")"),0)</f>
        <v>0</v>
      </c>
      <c r="J244" s="188">
        <f ca="1">IFERROR(__xludf.DUMMYFUNCTION("IMPORTRANGE(""https://docs.google.com/spreadsheets/d/1XL5vhW3sbDhbH9Cz0tuDiY8C3ctxq1tqvaCgkFb8cCA/edit?usp=sharing"",""ศรีสะเกษ!J164"")"),0)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IFERROR(__xludf.DUMMYFUNCTION("IMPORTRANGE(""https://docs.google.com/spreadsheets/d/1XL5vhW3sbDhbH9Cz0tuDiY8C3ctxq1tqvaCgkFb8cCA/edit?usp=sharing"",""ศรีสะเกษ!J165"")"),0)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IFERROR(__xludf.DUMMYFUNCTION("IMPORTRANGE(""https://docs.google.com/spreadsheets/d/1XL5vhW3sbDhbH9Cz0tuDiY8C3ctxq1tqvaCgkFb8cCA/edit?usp=sharing"",""ศรีสะเกษ!J166"")"),0)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IFERROR(__xludf.DUMMYFUNCTION("IMPORTRANGE(""https://docs.google.com/spreadsheets/d/1XL5vhW3sbDhbH9Cz0tuDiY8C3ctxq1tqvaCgkFb8cCA/edit?usp=sharing"",""ศรีสะเกษ!I169"")"),25)</f>
        <v>25</v>
      </c>
      <c r="J249" s="316">
        <f ca="1">IFERROR(__xludf.DUMMYFUNCTION("IMPORTRANGE(""https://docs.google.com/spreadsheets/d/1XL5vhW3sbDhbH9Cz0tuDiY8C3ctxq1tqvaCgkFb8cCA/edit?usp=sharing"",""ศรีสะเกษ!J169"")"),25)</f>
        <v>25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54" t="s">
        <v>17</v>
      </c>
      <c r="E250" s="555"/>
      <c r="F250" s="555"/>
      <c r="G250" s="555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47500</v>
      </c>
      <c r="N250" s="152">
        <f t="shared" ca="1" si="77"/>
        <v>42465</v>
      </c>
      <c r="O250" s="151">
        <f t="shared" ref="O250:O252" ca="1" si="78">IF(L250&gt;0,N250*100/L250,0)</f>
        <v>47.713483146067418</v>
      </c>
      <c r="P250" s="151">
        <f t="shared" ref="P250:P252" ca="1" si="79">IF(M250&gt;0,N250*100/M250,0)</f>
        <v>89.4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89000</v>
      </c>
      <c r="M252" s="157">
        <f t="shared" ca="1" si="81"/>
        <v>47500</v>
      </c>
      <c r="N252" s="157">
        <f t="shared" ca="1" si="81"/>
        <v>42465</v>
      </c>
      <c r="O252" s="156">
        <f t="shared" ca="1" si="78"/>
        <v>47.713483146067418</v>
      </c>
      <c r="P252" s="156">
        <f t="shared" ca="1" si="79"/>
        <v>89.4</v>
      </c>
    </row>
    <row r="253" spans="1:16" ht="21.75" customHeight="1" x14ac:dyDescent="0.45">
      <c r="A253" s="158"/>
      <c r="B253" s="159"/>
      <c r="C253" s="159" t="s">
        <v>16</v>
      </c>
      <c r="D253" s="552" t="s">
        <v>20</v>
      </c>
      <c r="E253" s="553"/>
      <c r="F253" s="55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89000</v>
      </c>
      <c r="M254" s="537">
        <f ca="1">IFERROR(__xludf.DUMMYFUNCTION("IMPORTRANGE(""https://docs.google.com/spreadsheets/d/1Yj_ptqi66GCucihVvJfMjLAmec39IyEx_6qawtMGysU/edit?usp=sharing"",""สบก!CB50"")"),47500)</f>
        <v>47500</v>
      </c>
      <c r="N254" s="538">
        <f ca="1">IFERROR(__xludf.DUMMYFUNCTION("IMPORTRANGE(""https://docs.google.com/spreadsheets/d/1Yj_ptqi66GCucihVvJfMjLAmec39IyEx_6qawtMGysU/edit?usp=sharing"",""สบก!CC50"")"),42465)</f>
        <v>42465</v>
      </c>
      <c r="O254" s="169">
        <f ca="1">IF(L254&gt;0,N254*100/L254,0)</f>
        <v>47.713483146067418</v>
      </c>
      <c r="P254" s="169">
        <f ca="1">IF(M254&gt;0,N254*100/M254,0)</f>
        <v>89.4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537">
        <f ca="1">IFERROR(__xludf.DUMMYFUNCTION("IMPORTRANGE(""https://docs.google.com/spreadsheets/d/1Yj_ptqi66GCucihVvJfMjLAmec39IyEx_6qawtMGysU/edit?usp=sharing"",""สบก!BX50"")"),0)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537">
        <f ca="1">IFERROR(__xludf.DUMMYFUNCTION("IMPORTRANGE(""https://docs.google.com/spreadsheets/d/1Yj_ptqi66GCucihVvJfMjLAmec39IyEx_6qawtMGysU/edit?usp=sharing"",""สบก!BY50"")"),89000)</f>
        <v>89000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52" t="s">
        <v>23</v>
      </c>
      <c r="E257" s="553"/>
      <c r="F257" s="89"/>
      <c r="G257" s="82" t="s">
        <v>18</v>
      </c>
      <c r="H257" s="172" t="s">
        <v>12</v>
      </c>
      <c r="I257" s="162"/>
      <c r="J257" s="162"/>
      <c r="K257" s="163"/>
      <c r="L257" s="535">
        <v>0</v>
      </c>
      <c r="M257" s="535"/>
      <c r="N257" s="41"/>
      <c r="O257" s="535"/>
      <c r="P257" s="535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533">
        <f ca="1">IFERROR(__xludf.DUMMYFUNCTION("IMPORTRANGE(""https://docs.google.com/spreadsheets/d/1Yj_ptqi66GCucihVvJfMjLAmec39IyEx_6qawtMGysU/edit?usp=sharing"",""สบก!BZ50"")"),0)</f>
        <v>0</v>
      </c>
      <c r="M258" s="536"/>
      <c r="N258" s="533">
        <f ca="1">IFERROR(__xludf.DUMMYFUNCTION("IMPORTRANGE(""https://docs.google.com/spreadsheets/d/1Yj_ptqi66GCucihVvJfMjLAmec39IyEx_6qawtMGysU/edit?usp=sharing"",""สบก!CD50"")"),0)</f>
        <v>0</v>
      </c>
      <c r="O258" s="536">
        <f ca="1">IF(L258&gt;0,N258*100/L258,0)</f>
        <v>0</v>
      </c>
      <c r="P258" s="536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IFERROR(__xludf.DUMMYFUNCTION("IMPORTRANGE(""https://docs.google.com/spreadsheets/d/1XL5vhW3sbDhbH9Cz0tuDiY8C3ctxq1tqvaCgkFb8cCA/edit?usp=sharing"",""ศรีสะเกษ!J175"")"),0)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IFERROR(__xludf.DUMMYFUNCTION("IMPORTRANGE(""https://docs.google.com/spreadsheets/d/1XL5vhW3sbDhbH9Cz0tuDiY8C3ctxq1tqvaCgkFb8cCA/edit?usp=sharing"",""ศรีสะเกษ!J176"")"),1)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IFERROR(__xludf.DUMMYFUNCTION("IMPORTRANGE(""https://docs.google.com/spreadsheets/d/1XL5vhW3sbDhbH9Cz0tuDiY8C3ctxq1tqvaCgkFb8cCA/edit?usp=sharing"",""ศรีสะเกษ!J177"")"),1)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IFERROR(__xludf.DUMMYFUNCTION("IMPORTRANGE(""https://docs.google.com/spreadsheets/d/1XL5vhW3sbDhbH9Cz0tuDiY8C3ctxq1tqvaCgkFb8cCA/edit?usp=sharing"",""ศรีสะเกษ!J178"")"),1)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IFERROR(__xludf.DUMMYFUNCTION("IMPORTRANGE(""https://docs.google.com/spreadsheets/d/1XL5vhW3sbDhbH9Cz0tuDiY8C3ctxq1tqvaCgkFb8cCA/edit?usp=sharing"",""ศรีสะเกษ!I179"")"),1)</f>
        <v>1</v>
      </c>
      <c r="J264" s="189">
        <f ca="1">IFERROR(__xludf.DUMMYFUNCTION("IMPORTRANGE(""https://docs.google.com/spreadsheets/d/1XL5vhW3sbDhbH9Cz0tuDiY8C3ctxq1tqvaCgkFb8cCA/edit?usp=sharing"",""ศรีสะเกษ!J179"")"),0)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IFERROR(__xludf.DUMMYFUNCTION("IMPORTRANGE(""https://docs.google.com/spreadsheets/d/1XL5vhW3sbDhbH9Cz0tuDiY8C3ctxq1tqvaCgkFb8cCA/edit?usp=sharing"",""ศรีสะเกษ!I180"")"),25)</f>
        <v>25</v>
      </c>
      <c r="J265" s="189">
        <f ca="1">IFERROR(__xludf.DUMMYFUNCTION("IMPORTRANGE(""https://docs.google.com/spreadsheets/d/1XL5vhW3sbDhbH9Cz0tuDiY8C3ctxq1tqvaCgkFb8cCA/edit?usp=sharing"",""ศรีสะเกษ!J180"")"),25)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IFERROR(__xludf.DUMMYFUNCTION("IMPORTRANGE(""https://docs.google.com/spreadsheets/d/1XL5vhW3sbDhbH9Cz0tuDiY8C3ctxq1tqvaCgkFb8cCA/edit?usp=sharing"",""ศรีสะเกษ!I181"")"),25)</f>
        <v>25</v>
      </c>
      <c r="J266" s="189">
        <f ca="1">IFERROR(__xludf.DUMMYFUNCTION("IMPORTRANGE(""https://docs.google.com/spreadsheets/d/1XL5vhW3sbDhbH9Cz0tuDiY8C3ctxq1tqvaCgkFb8cCA/edit?usp=sharing"",""ศรีสะเกษ!J181"")"),0)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IFERROR(__xludf.DUMMYFUNCTION("IMPORTRANGE(""https://docs.google.com/spreadsheets/d/1XL5vhW3sbDhbH9Cz0tuDiY8C3ctxq1tqvaCgkFb8cCA/edit?usp=sharing"",""ศรีสะเกษ!I182"")"),1)</f>
        <v>1</v>
      </c>
      <c r="J267" s="189">
        <f ca="1">IFERROR(__xludf.DUMMYFUNCTION("IMPORTRANGE(""https://docs.google.com/spreadsheets/d/1XL5vhW3sbDhbH9Cz0tuDiY8C3ctxq1tqvaCgkFb8cCA/edit?usp=sharing"",""ศรีสะเกษ!J182"")"),0)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IFERROR(__xludf.DUMMYFUNCTION("IMPORTRANGE(""https://docs.google.com/spreadsheets/d/1XL5vhW3sbDhbH9Cz0tuDiY8C3ctxq1tqvaCgkFb8cCA/edit?usp=sharing"",""ศรีสะเกษ!J183"")"),0)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IFERROR(__xludf.DUMMYFUNCTION("IMPORTRANGE(""https://docs.google.com/spreadsheets/d/1XL5vhW3sbDhbH9Cz0tuDiY8C3ctxq1tqvaCgkFb8cCA/edit?usp=sharing"",""ศรีสะเกษ!J184"")"),0)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IFERROR(__xludf.DUMMYFUNCTION("IMPORTRANGE(""https://docs.google.com/spreadsheets/d/1XL5vhW3sbDhbH9Cz0tuDiY8C3ctxq1tqvaCgkFb8cCA/edit?usp=sharing"",""ศรีสะเกษ!I185"")"),20)</f>
        <v>20</v>
      </c>
      <c r="J270" s="316">
        <f ca="1">IFERROR(__xludf.DUMMYFUNCTION("IMPORTRANGE(""https://docs.google.com/spreadsheets/d/1XL5vhW3sbDhbH9Cz0tuDiY8C3ctxq1tqvaCgkFb8cCA/edit?usp=sharing"",""ศรีสะเกษ!J185"")"),20)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54" t="s">
        <v>17</v>
      </c>
      <c r="E271" s="555"/>
      <c r="F271" s="555"/>
      <c r="G271" s="555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161600</v>
      </c>
      <c r="N271" s="152">
        <f t="shared" ca="1" si="83"/>
        <v>75527.06</v>
      </c>
      <c r="O271" s="151">
        <f t="shared" ref="O271:O273" ca="1" si="84">IF(L271&gt;0,N271*100/L271,0)</f>
        <v>41.136742919389981</v>
      </c>
      <c r="P271" s="151">
        <f t="shared" ref="P271:P273" ca="1" si="85">IF(M271&gt;0,N271*100/M271,0)</f>
        <v>46.737042079207917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183600</v>
      </c>
      <c r="M273" s="157">
        <f t="shared" ca="1" si="87"/>
        <v>161600</v>
      </c>
      <c r="N273" s="157">
        <f t="shared" ca="1" si="87"/>
        <v>75527.06</v>
      </c>
      <c r="O273" s="156">
        <f t="shared" ca="1" si="84"/>
        <v>41.136742919389981</v>
      </c>
      <c r="P273" s="156">
        <f t="shared" ca="1" si="85"/>
        <v>46.737042079207917</v>
      </c>
    </row>
    <row r="274" spans="1:16" ht="21.75" customHeight="1" x14ac:dyDescent="0.45">
      <c r="A274" s="158"/>
      <c r="B274" s="159"/>
      <c r="C274" s="159" t="s">
        <v>16</v>
      </c>
      <c r="D274" s="552" t="s">
        <v>20</v>
      </c>
      <c r="E274" s="553"/>
      <c r="F274" s="55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183600</v>
      </c>
      <c r="M275" s="537">
        <f ca="1">IFERROR(__xludf.DUMMYFUNCTION("IMPORTRANGE(""https://docs.google.com/spreadsheets/d/1Yj_ptqi66GCucihVvJfMjLAmec39IyEx_6qawtMGysU/edit?usp=sharing"",""สบก!CK50"")"),161600)</f>
        <v>161600</v>
      </c>
      <c r="N275" s="538">
        <f ca="1">IFERROR(__xludf.DUMMYFUNCTION("IMPORTRANGE(""https://docs.google.com/spreadsheets/d/1Yj_ptqi66GCucihVvJfMjLAmec39IyEx_6qawtMGysU/edit?usp=sharing"",""สบก!CL50"")"),75527.06)</f>
        <v>75527.06</v>
      </c>
      <c r="O275" s="169">
        <f ca="1">IF(L275&gt;0,N275*100/L275,0)</f>
        <v>41.136742919389981</v>
      </c>
      <c r="P275" s="169">
        <f ca="1">IF(M275&gt;0,N275*100/M275,0)</f>
        <v>46.737042079207917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537">
        <f ca="1">IFERROR(__xludf.DUMMYFUNCTION("IMPORTRANGE(""https://docs.google.com/spreadsheets/d/1Yj_ptqi66GCucihVvJfMjLAmec39IyEx_6qawtMGysU/edit?usp=sharing"",""สบก!CG50"")"),0)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537">
        <f ca="1">IFERROR(__xludf.DUMMYFUNCTION("IMPORTRANGE(""https://docs.google.com/spreadsheets/d/1Yj_ptqi66GCucihVvJfMjLAmec39IyEx_6qawtMGysU/edit?usp=sharing"",""สบก!CH50"")"),183600)</f>
        <v>183600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52" t="s">
        <v>23</v>
      </c>
      <c r="E278" s="553"/>
      <c r="F278" s="89"/>
      <c r="G278" s="82" t="s">
        <v>18</v>
      </c>
      <c r="H278" s="172" t="s">
        <v>12</v>
      </c>
      <c r="I278" s="162"/>
      <c r="J278" s="162"/>
      <c r="K278" s="163"/>
      <c r="L278" s="535">
        <v>0</v>
      </c>
      <c r="M278" s="535"/>
      <c r="N278" s="41"/>
      <c r="O278" s="535"/>
      <c r="P278" s="535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533">
        <f ca="1">IFERROR(__xludf.DUMMYFUNCTION("IMPORTRANGE(""https://docs.google.com/spreadsheets/d/1Yj_ptqi66GCucihVvJfMjLAmec39IyEx_6qawtMGysU/edit?usp=sharing"",""สบก!CI50"")"),0)</f>
        <v>0</v>
      </c>
      <c r="M279" s="536"/>
      <c r="N279" s="533">
        <f ca="1">IFERROR(__xludf.DUMMYFUNCTION("IMPORTRANGE(""https://docs.google.com/spreadsheets/d/1Yj_ptqi66GCucihVvJfMjLAmec39IyEx_6qawtMGysU/edit?usp=sharing"",""สบก!CM50"")"),0)</f>
        <v>0</v>
      </c>
      <c r="O279" s="536">
        <f ca="1">IF(L279&gt;0,N279*100/L279,0)</f>
        <v>0</v>
      </c>
      <c r="P279" s="536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IFERROR(__xludf.DUMMYFUNCTION("IMPORTRANGE(""https://docs.google.com/spreadsheets/d/1XL5vhW3sbDhbH9Cz0tuDiY8C3ctxq1tqvaCgkFb8cCA/edit?usp=sharing"",""ศรีสะเกษ!J191"")"),0)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IFERROR(__xludf.DUMMYFUNCTION("IMPORTRANGE(""https://docs.google.com/spreadsheets/d/1XL5vhW3sbDhbH9Cz0tuDiY8C3ctxq1tqvaCgkFb8cCA/edit?usp=sharing"",""ศรีสะเกษ!J192"")"),1)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IFERROR(__xludf.DUMMYFUNCTION("IMPORTRANGE(""https://docs.google.com/spreadsheets/d/1XL5vhW3sbDhbH9Cz0tuDiY8C3ctxq1tqvaCgkFb8cCA/edit?usp=sharing"",""ศรีสะเกษ!J193"")"),1)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IFERROR(__xludf.DUMMYFUNCTION("IMPORTRANGE(""https://docs.google.com/spreadsheets/d/1XL5vhW3sbDhbH9Cz0tuDiY8C3ctxq1tqvaCgkFb8cCA/edit?usp=sharing"",""ศรีสะเกษ!J194"")"),1)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IFERROR(__xludf.DUMMYFUNCTION("IMPORTRANGE(""https://docs.google.com/spreadsheets/d/1XL5vhW3sbDhbH9Cz0tuDiY8C3ctxq1tqvaCgkFb8cCA/edit?usp=sharing"",""ศรีสะเกษ!I195"")"),20)</f>
        <v>20</v>
      </c>
      <c r="J285" s="189">
        <f ca="1">IFERROR(__xludf.DUMMYFUNCTION("IMPORTRANGE(""https://docs.google.com/spreadsheets/d/1XL5vhW3sbDhbH9Cz0tuDiY8C3ctxq1tqvaCgkFb8cCA/edit?usp=sharing"",""ศรีสะเกษ!J195"")"),20)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IFERROR(__xludf.DUMMYFUNCTION("IMPORTRANGE(""https://docs.google.com/spreadsheets/d/1XL5vhW3sbDhbH9Cz0tuDiY8C3ctxq1tqvaCgkFb8cCA/edit?usp=sharing"",""ศรีสะเกษ!J196"")"),0)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IFERROR(__xludf.DUMMYFUNCTION("IMPORTRANGE(""https://docs.google.com/spreadsheets/d/1XL5vhW3sbDhbH9Cz0tuDiY8C3ctxq1tqvaCgkFb8cCA/edit?usp=sharing"",""ศรีสะเกษ!J197"")"),0)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IFERROR(__xludf.DUMMYFUNCTION("IMPORTRANGE(""https://docs.google.com/spreadsheets/d/1XL5vhW3sbDhbH9Cz0tuDiY8C3ctxq1tqvaCgkFb8cCA/edit?usp=sharing"",""ศรีสะเกษ!I199"")"),0)</f>
        <v>0</v>
      </c>
      <c r="J289" s="316">
        <f ca="1">IFERROR(__xludf.DUMMYFUNCTION("IMPORTRANGE(""https://docs.google.com/spreadsheets/d/1XL5vhW3sbDhbH9Cz0tuDiY8C3ctxq1tqvaCgkFb8cCA/edit?usp=sharing"",""ศรีสะเกษ!J199"")"),0)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54" t="s">
        <v>17</v>
      </c>
      <c r="E290" s="555"/>
      <c r="F290" s="555"/>
      <c r="G290" s="55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52" t="s">
        <v>20</v>
      </c>
      <c r="E293" s="553"/>
      <c r="F293" s="55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537">
        <f ca="1">IFERROR(__xludf.DUMMYFUNCTION("IMPORTRANGE(""https://docs.google.com/spreadsheets/d/1Yj_ptqi66GCucihVvJfMjLAmec39IyEx_6qawtMGysU/edit?usp=sharing"",""สบก!CT50"")"),0)</f>
        <v>0</v>
      </c>
      <c r="N294" s="538">
        <f ca="1">IFERROR(__xludf.DUMMYFUNCTION("IMPORTRANGE(""https://docs.google.com/spreadsheets/d/1Yj_ptqi66GCucihVvJfMjLAmec39IyEx_6qawtMGysU/edit?usp=sharing"",""สบก!CU50"")"),0)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537">
        <f ca="1">IFERROR(__xludf.DUMMYFUNCTION("IMPORTRANGE(""https://docs.google.com/spreadsheets/d/1Yj_ptqi66GCucihVvJfMjLAmec39IyEx_6qawtMGysU/edit?usp=sharing"",""สบก!CP50"")"),0)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537">
        <f ca="1">IFERROR(__xludf.DUMMYFUNCTION("IMPORTRANGE(""https://docs.google.com/spreadsheets/d/1Yj_ptqi66GCucihVvJfMjLAmec39IyEx_6qawtMGysU/edit?usp=sharing"",""สบก!CQ50"")"),0)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52" t="s">
        <v>23</v>
      </c>
      <c r="E297" s="553"/>
      <c r="F297" s="89"/>
      <c r="G297" s="82" t="s">
        <v>18</v>
      </c>
      <c r="H297" s="172" t="s">
        <v>12</v>
      </c>
      <c r="I297" s="188"/>
      <c r="J297" s="188"/>
      <c r="K297" s="224"/>
      <c r="L297" s="535">
        <v>0</v>
      </c>
      <c r="M297" s="535"/>
      <c r="N297" s="41"/>
      <c r="O297" s="535"/>
      <c r="P297" s="535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533">
        <f ca="1">IFERROR(__xludf.DUMMYFUNCTION("IMPORTRANGE(""https://docs.google.com/spreadsheets/d/1Yj_ptqi66GCucihVvJfMjLAmec39IyEx_6qawtMGysU/edit?usp=sharing"",""สบก!CR50"")"),0)</f>
        <v>0</v>
      </c>
      <c r="M298" s="536"/>
      <c r="N298" s="533">
        <f ca="1">IFERROR(__xludf.DUMMYFUNCTION("IMPORTRANGE(""https://docs.google.com/spreadsheets/d/1Yj_ptqi66GCucihVvJfMjLAmec39IyEx_6qawtMGysU/edit?usp=sharing"",""สบก!CV50"")"),0)</f>
        <v>0</v>
      </c>
      <c r="O298" s="536">
        <f ca="1">IF(L298&gt;0,N298*100/L298,0)</f>
        <v>0</v>
      </c>
      <c r="P298" s="536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IFERROR(__xludf.DUMMYFUNCTION("IMPORTRANGE(""https://docs.google.com/spreadsheets/d/1XL5vhW3sbDhbH9Cz0tuDiY8C3ctxq1tqvaCgkFb8cCA/edit?usp=sharing"",""ศรีสะเกษ!J205"")"),0)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IFERROR(__xludf.DUMMYFUNCTION("IMPORTRANGE(""https://docs.google.com/spreadsheets/d/1XL5vhW3sbDhbH9Cz0tuDiY8C3ctxq1tqvaCgkFb8cCA/edit?usp=sharing"",""ศรีสะเกษ!J206"")"),0)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IFERROR(__xludf.DUMMYFUNCTION("IMPORTRANGE(""https://docs.google.com/spreadsheets/d/1XL5vhW3sbDhbH9Cz0tuDiY8C3ctxq1tqvaCgkFb8cCA/edit?usp=sharing"",""ศรีสะเกษ!J207"")"),0)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IFERROR(__xludf.DUMMYFUNCTION("IMPORTRANGE(""https://docs.google.com/spreadsheets/d/1XL5vhW3sbDhbH9Cz0tuDiY8C3ctxq1tqvaCgkFb8cCA/edit?usp=sharing"",""ศรีสะเกษ!J208"")"),0)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IFERROR(__xludf.DUMMYFUNCTION("IMPORTRANGE(""https://docs.google.com/spreadsheets/d/1XL5vhW3sbDhbH9Cz0tuDiY8C3ctxq1tqvaCgkFb8cCA/edit?usp=sharing"",""ศรีสะเกษ!I209"")"),0)</f>
        <v>0</v>
      </c>
      <c r="J304" s="204">
        <f ca="1">IFERROR(__xludf.DUMMYFUNCTION("IMPORTRANGE(""https://docs.google.com/spreadsheets/d/1XL5vhW3sbDhbH9Cz0tuDiY8C3ctxq1tqvaCgkFb8cCA/edit?usp=sharing"",""ศรีสะเกษ!J209"")"),0)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IFERROR(__xludf.DUMMYFUNCTION("IMPORTRANGE(""https://docs.google.com/spreadsheets/d/1XL5vhW3sbDhbH9Cz0tuDiY8C3ctxq1tqvaCgkFb8cCA/edit?usp=sharing"",""ศรีสะเกษ!I211"")"),0)</f>
        <v>0</v>
      </c>
      <c r="J306" s="204">
        <f ca="1">IFERROR(__xludf.DUMMYFUNCTION("IMPORTRANGE(""https://docs.google.com/spreadsheets/d/1XL5vhW3sbDhbH9Cz0tuDiY8C3ctxq1tqvaCgkFb8cCA/edit?usp=sharing"",""ศรีสะเกษ!J211"")"),0)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IFERROR(__xludf.DUMMYFUNCTION("IMPORTRANGE(""https://docs.google.com/spreadsheets/d/1XL5vhW3sbDhbH9Cz0tuDiY8C3ctxq1tqvaCgkFb8cCA/edit?usp=sharing"",""ศรีสะเกษ!J212"")"),0)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IFERROR(__xludf.DUMMYFUNCTION("IMPORTRANGE(""https://docs.google.com/spreadsheets/d/1XL5vhW3sbDhbH9Cz0tuDiY8C3ctxq1tqvaCgkFb8cCA/edit?usp=sharing"",""ศรีสะเกษ!J213"")"),0)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IFERROR(__xludf.DUMMYFUNCTION("IMPORTRANGE(""https://docs.google.com/spreadsheets/d/1XL5vhW3sbDhbH9Cz0tuDiY8C3ctxq1tqvaCgkFb8cCA/edit?usp=sharing"",""ศรีสะเกษ!I214"")"),0)</f>
        <v>0</v>
      </c>
      <c r="J309" s="333">
        <f ca="1">IFERROR(__xludf.DUMMYFUNCTION("IMPORTRANGE(""https://docs.google.com/spreadsheets/d/1XL5vhW3sbDhbH9Cz0tuDiY8C3ctxq1tqvaCgkFb8cCA/edit?usp=sharing"",""ศรีสะเกษ!J214"")"),0)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54" t="s">
        <v>17</v>
      </c>
      <c r="E310" s="555"/>
      <c r="F310" s="555"/>
      <c r="G310" s="55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52" t="s">
        <v>20</v>
      </c>
      <c r="E313" s="553"/>
      <c r="F313" s="55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537">
        <f ca="1">IFERROR(__xludf.DUMMYFUNCTION("IMPORTRANGE(""https://docs.google.com/spreadsheets/d/1Yj_ptqi66GCucihVvJfMjLAmec39IyEx_6qawtMGysU/edit?usp=sharing"",""สบก!DC50"")"),0)</f>
        <v>0</v>
      </c>
      <c r="N314" s="538">
        <f ca="1">IFERROR(__xludf.DUMMYFUNCTION("IMPORTRANGE(""https://docs.google.com/spreadsheets/d/1Yj_ptqi66GCucihVvJfMjLAmec39IyEx_6qawtMGysU/edit?usp=sharing"",""สบก!DD50"")"),0)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537">
        <f ca="1">IFERROR(__xludf.DUMMYFUNCTION("IMPORTRANGE(""https://docs.google.com/spreadsheets/d/1Yj_ptqi66GCucihVvJfMjLAmec39IyEx_6qawtMGysU/edit?usp=sharing"",""สบก!CY50"")"),0)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537">
        <f ca="1">IFERROR(__xludf.DUMMYFUNCTION("IMPORTRANGE(""https://docs.google.com/spreadsheets/d/1Yj_ptqi66GCucihVvJfMjLAmec39IyEx_6qawtMGysU/edit?usp=sharing"",""สบก!CZ50"")"),0)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52" t="s">
        <v>23</v>
      </c>
      <c r="E317" s="553"/>
      <c r="F317" s="89"/>
      <c r="G317" s="82" t="s">
        <v>18</v>
      </c>
      <c r="H317" s="172" t="s">
        <v>12</v>
      </c>
      <c r="I317" s="162"/>
      <c r="J317" s="188"/>
      <c r="K317" s="224"/>
      <c r="L317" s="535">
        <v>0</v>
      </c>
      <c r="M317" s="535"/>
      <c r="N317" s="41"/>
      <c r="O317" s="535"/>
      <c r="P317" s="535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533">
        <f ca="1">IFERROR(__xludf.DUMMYFUNCTION("IMPORTRANGE(""https://docs.google.com/spreadsheets/d/1Yj_ptqi66GCucihVvJfMjLAmec39IyEx_6qawtMGysU/edit?usp=sharing"",""สบก!DA50"")"),0)</f>
        <v>0</v>
      </c>
      <c r="M318" s="536"/>
      <c r="N318" s="533">
        <f ca="1">IFERROR(__xludf.DUMMYFUNCTION("IMPORTRANGE(""https://docs.google.com/spreadsheets/d/1Yj_ptqi66GCucihVvJfMjLAmec39IyEx_6qawtMGysU/edit?usp=sharing"",""สบก!DE50"")"),0)</f>
        <v>0</v>
      </c>
      <c r="O318" s="536">
        <f ca="1">IF(L318&gt;0,N318*100/L318,0)</f>
        <v>0</v>
      </c>
      <c r="P318" s="536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IFERROR(__xludf.DUMMYFUNCTION("IMPORTRANGE(""https://docs.google.com/spreadsheets/d/1XL5vhW3sbDhbH9Cz0tuDiY8C3ctxq1tqvaCgkFb8cCA/edit?usp=sharing"",""ศรีสะเกษ!J220"")"),0)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IFERROR(__xludf.DUMMYFUNCTION("IMPORTRANGE(""https://docs.google.com/spreadsheets/d/1XL5vhW3sbDhbH9Cz0tuDiY8C3ctxq1tqvaCgkFb8cCA/edit?usp=sharing"",""ศรีสะเกษ!J221"")"),0)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IFERROR(__xludf.DUMMYFUNCTION("IMPORTRANGE(""https://docs.google.com/spreadsheets/d/1XL5vhW3sbDhbH9Cz0tuDiY8C3ctxq1tqvaCgkFb8cCA/edit?usp=sharing"",""ศรีสะเกษ!J222"")"),0)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IFERROR(__xludf.DUMMYFUNCTION("IMPORTRANGE(""https://docs.google.com/spreadsheets/d/1XL5vhW3sbDhbH9Cz0tuDiY8C3ctxq1tqvaCgkFb8cCA/edit?usp=sharing"",""ศรีสะเกษ!J223"")"),0)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IFERROR(__xludf.DUMMYFUNCTION("IMPORTRANGE(""https://docs.google.com/spreadsheets/d/1XL5vhW3sbDhbH9Cz0tuDiY8C3ctxq1tqvaCgkFb8cCA/edit?usp=sharing"",""ศรีสะเกษ!I224"")"),0)</f>
        <v>0</v>
      </c>
      <c r="J324" s="204">
        <f ca="1">IFERROR(__xludf.DUMMYFUNCTION("IMPORTRANGE(""https://docs.google.com/spreadsheets/d/1XL5vhW3sbDhbH9Cz0tuDiY8C3ctxq1tqvaCgkFb8cCA/edit?usp=sharing"",""ศรีสะเกษ!J224"")"),0)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IFERROR(__xludf.DUMMYFUNCTION("IMPORTRANGE(""https://docs.google.com/spreadsheets/d/1XL5vhW3sbDhbH9Cz0tuDiY8C3ctxq1tqvaCgkFb8cCA/edit?usp=sharing"",""ศรีสะเกษ!J225"")"),0)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IFERROR(__xludf.DUMMYFUNCTION("IMPORTRANGE(""https://docs.google.com/spreadsheets/d/1XL5vhW3sbDhbH9Cz0tuDiY8C3ctxq1tqvaCgkFb8cCA/edit?usp=sharing"",""ศรีสะเกษ!J226"")"),0)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IFERROR(__xludf.DUMMYFUNCTION("IMPORTRANGE(""https://docs.google.com/spreadsheets/d/1XL5vhW3sbDhbH9Cz0tuDiY8C3ctxq1tqvaCgkFb8cCA/edit?usp=sharing"",""ศรีสะเกษ!I228"")"),880)</f>
        <v>880</v>
      </c>
      <c r="J328" s="339">
        <f ca="1">IFERROR(__xludf.DUMMYFUNCTION("IMPORTRANGE(""https://docs.google.com/spreadsheets/d/1XL5vhW3sbDhbH9Cz0tuDiY8C3ctxq1tqvaCgkFb8cCA/edit?usp=sharing"",""ศรีสะเกษ!J228"")"),637)</f>
        <v>637</v>
      </c>
      <c r="K328" s="317">
        <f ca="1">IF(I328&gt;0,J328*100/I328,0)</f>
        <v>72.38636363636364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54" t="s">
        <v>17</v>
      </c>
      <c r="E329" s="555"/>
      <c r="F329" s="555"/>
      <c r="G329" s="555"/>
      <c r="H329" s="149" t="s">
        <v>12</v>
      </c>
      <c r="I329" s="162"/>
      <c r="J329" s="162"/>
      <c r="K329" s="163"/>
      <c r="L329" s="152">
        <f t="shared" ref="L329:N329" ca="1" si="98">L330+L331</f>
        <v>1684870</v>
      </c>
      <c r="M329" s="152">
        <f t="shared" ca="1" si="98"/>
        <v>1207280</v>
      </c>
      <c r="N329" s="152">
        <f t="shared" ca="1" si="98"/>
        <v>553635.36</v>
      </c>
      <c r="O329" s="151">
        <f t="shared" ref="O329:O331" ca="1" si="99">IF(L329&gt;0,N329*100/L329,0)</f>
        <v>32.859233056556292</v>
      </c>
      <c r="P329" s="151">
        <f t="shared" ref="P329:P331" ca="1" si="100">IF(M329&gt;0,N329*100/M329,0)</f>
        <v>45.858074348949707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1684870</v>
      </c>
      <c r="M331" s="157">
        <f t="shared" ca="1" si="102"/>
        <v>1207280</v>
      </c>
      <c r="N331" s="157">
        <f t="shared" ca="1" si="102"/>
        <v>553635.36</v>
      </c>
      <c r="O331" s="156">
        <f t="shared" ca="1" si="99"/>
        <v>32.859233056556292</v>
      </c>
      <c r="P331" s="156">
        <f t="shared" ca="1" si="100"/>
        <v>45.858074348949707</v>
      </c>
    </row>
    <row r="332" spans="1:16" ht="21.75" customHeight="1" x14ac:dyDescent="0.45">
      <c r="A332" s="158"/>
      <c r="B332" s="159"/>
      <c r="C332" s="159" t="s">
        <v>16</v>
      </c>
      <c r="D332" s="552" t="s">
        <v>20</v>
      </c>
      <c r="E332" s="553"/>
      <c r="F332" s="55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1667870</v>
      </c>
      <c r="M333" s="537">
        <f ca="1">IFERROR(__xludf.DUMMYFUNCTION("IMPORTRANGE(""https://docs.google.com/spreadsheets/d/1Yj_ptqi66GCucihVvJfMjLAmec39IyEx_6qawtMGysU/edit?usp=sharing"",""สบก!DL50"")"),1190280)</f>
        <v>1190280</v>
      </c>
      <c r="N333" s="538">
        <f ca="1">IFERROR(__xludf.DUMMYFUNCTION("IMPORTRANGE(""https://docs.google.com/spreadsheets/d/1Yj_ptqi66GCucihVvJfMjLAmec39IyEx_6qawtMGysU/edit?usp=sharing"",""สบก!DM50"")"),536635.36)</f>
        <v>536635.36</v>
      </c>
      <c r="O333" s="169">
        <f ca="1">IF(L333&gt;0,N333*100/L333,0)</f>
        <v>32.174891328460852</v>
      </c>
      <c r="P333" s="169">
        <f ca="1">IF(M333&gt;0,N333*100/M333,0)</f>
        <v>45.084800215075447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537">
        <f ca="1">IFERROR(__xludf.DUMMYFUNCTION("IMPORTRANGE(""https://docs.google.com/spreadsheets/d/1Yj_ptqi66GCucihVvJfMjLAmec39IyEx_6qawtMGysU/edit?usp=sharing"",""สบก!DH50"")"),500400)</f>
        <v>500400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537">
        <f ca="1">IFERROR(__xludf.DUMMYFUNCTION("IMPORTRANGE(""https://docs.google.com/spreadsheets/d/1Yj_ptqi66GCucihVvJfMjLAmec39IyEx_6qawtMGysU/edit?usp=sharing"",""สบก!DI50"")"),1167470)</f>
        <v>1167470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52" t="s">
        <v>23</v>
      </c>
      <c r="E336" s="553"/>
      <c r="F336" s="89"/>
      <c r="G336" s="82" t="s">
        <v>18</v>
      </c>
      <c r="H336" s="172" t="s">
        <v>12</v>
      </c>
      <c r="I336" s="162"/>
      <c r="J336" s="162"/>
      <c r="K336" s="163"/>
      <c r="L336" s="535">
        <v>0</v>
      </c>
      <c r="M336" s="535"/>
      <c r="N336" s="41"/>
      <c r="O336" s="535"/>
      <c r="P336" s="535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533">
        <f ca="1">IFERROR(__xludf.DUMMYFUNCTION("IMPORTRANGE(""https://docs.google.com/spreadsheets/d/1Yj_ptqi66GCucihVvJfMjLAmec39IyEx_6qawtMGysU/edit?usp=sharing"",""สบก!DJ50"")"),17000)</f>
        <v>17000</v>
      </c>
      <c r="M337" s="536">
        <f ca="1">L337</f>
        <v>17000</v>
      </c>
      <c r="N337" s="533">
        <f ca="1">IFERROR(__xludf.DUMMYFUNCTION("IMPORTRANGE(""https://docs.google.com/spreadsheets/d/1Yj_ptqi66GCucihVvJfMjLAmec39IyEx_6qawtMGysU/edit?usp=sharing"",""สบก!DN50"")"),17000)</f>
        <v>17000</v>
      </c>
      <c r="O337" s="536">
        <f ca="1">IF(L337&gt;0,N337*100/L337,0)</f>
        <v>100</v>
      </c>
      <c r="P337" s="536">
        <f ca="1">IF(M337&gt;0,N337*100/M337,0)</f>
        <v>100</v>
      </c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IFERROR(__xludf.DUMMYFUNCTION("IMPORTRANGE(""https://docs.google.com/spreadsheets/d/1XL5vhW3sbDhbH9Cz0tuDiY8C3ctxq1tqvaCgkFb8cCA/edit?usp=sharing"",""ศรีสะเกษ!I234"")"),0)</f>
        <v>0</v>
      </c>
      <c r="J339" s="188">
        <f ca="1">IFERROR(__xludf.DUMMYFUNCTION("IMPORTRANGE(""https://docs.google.com/spreadsheets/d/1XL5vhW3sbDhbH9Cz0tuDiY8C3ctxq1tqvaCgkFb8cCA/edit?usp=sharing"",""ศรีสะเกษ!J234"")"),649)</f>
        <v>649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IFERROR(__xludf.DUMMYFUNCTION("IMPORTRANGE(""https://docs.google.com/spreadsheets/d/1XL5vhW3sbDhbH9Cz0tuDiY8C3ctxq1tqvaCgkFb8cCA/edit?usp=sharing"",""ศรีสะเกษ!I235"")"),7760)</f>
        <v>7760</v>
      </c>
      <c r="J340" s="188">
        <f ca="1">IFERROR(__xludf.DUMMYFUNCTION("IMPORTRANGE(""https://docs.google.com/spreadsheets/d/1XL5vhW3sbDhbH9Cz0tuDiY8C3ctxq1tqvaCgkFb8cCA/edit?usp=sharing"",""ศรีสะเกษ!J235"")"),4190.17)</f>
        <v>4190.17</v>
      </c>
      <c r="K340" s="342">
        <f t="shared" ca="1" si="103"/>
        <v>53.997036082474224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IFERROR(__xludf.DUMMYFUNCTION("IMPORTRANGE(""https://docs.google.com/spreadsheets/d/1XL5vhW3sbDhbH9Cz0tuDiY8C3ctxq1tqvaCgkFb8cCA/edit?usp=sharing"",""ศรีสะเกษ!I236"")"),880)</f>
        <v>880</v>
      </c>
      <c r="J341" s="188">
        <f ca="1">IFERROR(__xludf.DUMMYFUNCTION("IMPORTRANGE(""https://docs.google.com/spreadsheets/d/1XL5vhW3sbDhbH9Cz0tuDiY8C3ctxq1tqvaCgkFb8cCA/edit?usp=sharing"",""ศรีสะเกษ!J236"")"),1053)</f>
        <v>1053</v>
      </c>
      <c r="K341" s="342">
        <f t="shared" ca="1" si="103"/>
        <v>119.65909090909091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IFERROR(__xludf.DUMMYFUNCTION("IMPORTRANGE(""https://docs.google.com/spreadsheets/d/1XL5vhW3sbDhbH9Cz0tuDiY8C3ctxq1tqvaCgkFb8cCA/edit?usp=sharing"",""ศรีสะเกษ!I237"")"),0)</f>
        <v>0</v>
      </c>
      <c r="J342" s="188">
        <f ca="1">IFERROR(__xludf.DUMMYFUNCTION("IMPORTRANGE(""https://docs.google.com/spreadsheets/d/1XL5vhW3sbDhbH9Cz0tuDiY8C3ctxq1tqvaCgkFb8cCA/edit?usp=sharing"",""ศรีสะเกษ!J237"")"),7916.79)</f>
        <v>7916.79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IFERROR(__xludf.DUMMYFUNCTION("IMPORTRANGE(""https://docs.google.com/spreadsheets/d/1XL5vhW3sbDhbH9Cz0tuDiY8C3ctxq1tqvaCgkFb8cCA/edit?usp=sharing"",""ศรีสะเกษ!I238"")"),880)</f>
        <v>880</v>
      </c>
      <c r="J343" s="188">
        <f ca="1">IFERROR(__xludf.DUMMYFUNCTION("IMPORTRANGE(""https://docs.google.com/spreadsheets/d/1XL5vhW3sbDhbH9Cz0tuDiY8C3ctxq1tqvaCgkFb8cCA/edit?usp=sharing"",""ศรีสะเกษ!J238"")"),3)</f>
        <v>3</v>
      </c>
      <c r="K343" s="342">
        <f t="shared" ca="1" si="103"/>
        <v>0.34090909090909088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IFERROR(__xludf.DUMMYFUNCTION("IMPORTRANGE(""https://docs.google.com/spreadsheets/d/1XL5vhW3sbDhbH9Cz0tuDiY8C3ctxq1tqvaCgkFb8cCA/edit?usp=sharing"",""ศรีสะเกษ!I239"")"),0)</f>
        <v>0</v>
      </c>
      <c r="J344" s="188">
        <f ca="1">IFERROR(__xludf.DUMMYFUNCTION("IMPORTRANGE(""https://docs.google.com/spreadsheets/d/1XL5vhW3sbDhbH9Cz0tuDiY8C3ctxq1tqvaCgkFb8cCA/edit?usp=sharing"",""ศรีสะเกษ!J239"")"),23.72)</f>
        <v>23.72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IFERROR(__xludf.DUMMYFUNCTION("IMPORTRANGE(""https://docs.google.com/spreadsheets/d/1XL5vhW3sbDhbH9Cz0tuDiY8C3ctxq1tqvaCgkFb8cCA/edit?usp=sharing"",""ศรีสะเกษ!I240"")"),880)</f>
        <v>880</v>
      </c>
      <c r="J345" s="188">
        <f ca="1">IFERROR(__xludf.DUMMYFUNCTION("IMPORTRANGE(""https://docs.google.com/spreadsheets/d/1XL5vhW3sbDhbH9Cz0tuDiY8C3ctxq1tqvaCgkFb8cCA/edit?usp=sharing"",""ศรีสะเกษ!J240"")"),637)</f>
        <v>637</v>
      </c>
      <c r="K345" s="342">
        <f t="shared" ca="1" si="103"/>
        <v>72.38636363636364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IFERROR(__xludf.DUMMYFUNCTION("IMPORTRANGE(""https://docs.google.com/spreadsheets/d/1XL5vhW3sbDhbH9Cz0tuDiY8C3ctxq1tqvaCgkFb8cCA/edit?usp=sharing"",""ศรีสะเกษ!I241"")"),0)</f>
        <v>0</v>
      </c>
      <c r="J346" s="188">
        <f ca="1">IFERROR(__xludf.DUMMYFUNCTION("IMPORTRANGE(""https://docs.google.com/spreadsheets/d/1XL5vhW3sbDhbH9Cz0tuDiY8C3ctxq1tqvaCgkFb8cCA/edit?usp=sharing"",""ศรีสะเกษ!J241"")"),5015.04)</f>
        <v>5015.04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IFERROR(__xludf.DUMMYFUNCTION("IMPORTRANGE(""https://docs.google.com/spreadsheets/d/1XL5vhW3sbDhbH9Cz0tuDiY8C3ctxq1tqvaCgkFb8cCA/edit?usp=sharing"",""ศรีสะเกษ!L242"")"),3187321)</f>
        <v>3187321</v>
      </c>
      <c r="M347" s="358"/>
      <c r="N347" s="358">
        <f ca="1">IFERROR(__xludf.DUMMYFUNCTION("IMPORTRANGE(""https://docs.google.com/spreadsheets/d/1XL5vhW3sbDhbH9Cz0tuDiY8C3ctxq1tqvaCgkFb8cCA/edit?usp=sharing"",""ศรีสะเกษ!M242"")"),502604.97)</f>
        <v>502604.97</v>
      </c>
      <c r="O347" s="358">
        <f ca="1">+IF(L347&gt;0,N347*100/L347,0)</f>
        <v>15.768884589911089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IFERROR(__xludf.DUMMYFUNCTION("IMPORTRANGE(""https://docs.google.com/spreadsheets/d/1XL5vhW3sbDhbH9Cz0tuDiY8C3ctxq1tqvaCgkFb8cCA/edit?usp=sharing"",""ศรีสะเกษ!I244"")"),200)</f>
        <v>200</v>
      </c>
      <c r="J349" s="371">
        <f ca="1">IFERROR(__xludf.DUMMYFUNCTION("IMPORTRANGE(""https://docs.google.com/spreadsheets/d/1XL5vhW3sbDhbH9Cz0tuDiY8C3ctxq1tqvaCgkFb8cCA/edit?usp=sharing"",""ศรีสะเกษ!J244"")"),0)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IFERROR(__xludf.DUMMYFUNCTION("IMPORTRANGE(""https://docs.google.com/spreadsheets/d/1XL5vhW3sbDhbH9Cz0tuDiY8C3ctxq1tqvaCgkFb8cCA/edit?usp=sharing"",""ศรีสะเกษ!L244"")"),373160)</f>
        <v>373160</v>
      </c>
      <c r="M349" s="373"/>
      <c r="N349" s="373">
        <f ca="1">IFERROR(__xludf.DUMMYFUNCTION("IMPORTRANGE(""https://docs.google.com/spreadsheets/d/1XL5vhW3sbDhbH9Cz0tuDiY8C3ctxq1tqvaCgkFb8cCA/edit?usp=sharing"",""ศรีสะเกษ!M244"")"),18451.64)</f>
        <v>18451.64</v>
      </c>
      <c r="O349" s="373">
        <f ca="1">+IF(L349&gt;0,N349*100/L349,0)</f>
        <v>4.9446993246864617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IFERROR(__xludf.DUMMYFUNCTION("IMPORTRANGE(""https://docs.google.com/spreadsheets/d/1XL5vhW3sbDhbH9Cz0tuDiY8C3ctxq1tqvaCgkFb8cCA/edit?usp=sharing"",""ศรีสะเกษ!I245"")"),40)</f>
        <v>40</v>
      </c>
      <c r="J350" s="371">
        <f ca="1">IFERROR(__xludf.DUMMYFUNCTION("IMPORTRANGE(""https://docs.google.com/spreadsheets/d/1XL5vhW3sbDhbH9Cz0tuDiY8C3ctxq1tqvaCgkFb8cCA/edit?usp=sharing"",""ศรีสะเกษ!J245"")"),0)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IFERROR(__xludf.DUMMYFUNCTION("IMPORTRANGE(""https://docs.google.com/spreadsheets/d/1XL5vhW3sbDhbH9Cz0tuDiY8C3ctxq1tqvaCgkFb8cCA/edit?usp=sharing"",""ศรีสะเกษ!L246"")"),0)</f>
        <v>0</v>
      </c>
      <c r="M351" s="164"/>
      <c r="N351" s="164">
        <f ca="1">IFERROR(__xludf.DUMMYFUNCTION("IMPORTRANGE(""https://docs.google.com/spreadsheets/d/1XL5vhW3sbDhbH9Cz0tuDiY8C3ctxq1tqvaCgkFb8cCA/edit?usp=sharing"",""ศรีสะเกษ!M246"")"),0)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IFERROR(__xludf.DUMMYFUNCTION("IMPORTRANGE(""https://docs.google.com/spreadsheets/d/1XL5vhW3sbDhbH9Cz0tuDiY8C3ctxq1tqvaCgkFb8cCA/edit?usp=sharing"",""ศรีสะเกษ!L247"")"),373160)</f>
        <v>373160</v>
      </c>
      <c r="M352" s="165"/>
      <c r="N352" s="164">
        <f ca="1">IFERROR(__xludf.DUMMYFUNCTION("IMPORTRANGE(""https://docs.google.com/spreadsheets/d/1XL5vhW3sbDhbH9Cz0tuDiY8C3ctxq1tqvaCgkFb8cCA/edit?usp=sharing"",""ศรีสะเกษ!M247"")"),18451.64)</f>
        <v>18451.64</v>
      </c>
      <c r="O352" s="165">
        <f t="shared" ca="1" si="105"/>
        <v>4.9446993246864617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IFERROR(__xludf.DUMMYFUNCTION("IMPORTRANGE(""https://docs.google.com/spreadsheets/d/1XL5vhW3sbDhbH9Cz0tuDiY8C3ctxq1tqvaCgkFb8cCA/edit?usp=sharing"",""ศรีสะเกษ!L248"")"),0)</f>
        <v>0</v>
      </c>
      <c r="M353" s="169"/>
      <c r="N353" s="169">
        <f ca="1">IFERROR(__xludf.DUMMYFUNCTION("IMPORTRANGE(""https://docs.google.com/spreadsheets/d/1XL5vhW3sbDhbH9Cz0tuDiY8C3ctxq1tqvaCgkFb8cCA/edit?usp=sharing"",""ศรีสะเกษ!M248"")"),0)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IFERROR(__xludf.DUMMYFUNCTION("IMPORTRANGE(""https://docs.google.com/spreadsheets/d/1XL5vhW3sbDhbH9Cz0tuDiY8C3ctxq1tqvaCgkFb8cCA/edit?usp=sharing"",""ศรีสะเกษ!L249"")"),373160)</f>
        <v>373160</v>
      </c>
      <c r="M354" s="169"/>
      <c r="N354" s="168">
        <f ca="1">IFERROR(__xludf.DUMMYFUNCTION("IMPORTRANGE(""https://docs.google.com/spreadsheets/d/1XL5vhW3sbDhbH9Cz0tuDiY8C3ctxq1tqvaCgkFb8cCA/edit?usp=sharing"",""ศรีสะเกษ!M249"")"),18451.64)</f>
        <v>18451.64</v>
      </c>
      <c r="O354" s="169">
        <f t="shared" ca="1" si="105"/>
        <v>4.9446993246864617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IFERROR(__xludf.DUMMYFUNCTION("IMPORTRANGE(""https://docs.google.com/spreadsheets/d/1XL5vhW3sbDhbH9Cz0tuDiY8C3ctxq1tqvaCgkFb8cCA/edit?usp=sharing"",""ศรีสะเกษ!M250"")"),0)</f>
        <v>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IFERROR(__xludf.DUMMYFUNCTION("IMPORTRANGE(""https://docs.google.com/spreadsheets/d/1XL5vhW3sbDhbH9Cz0tuDiY8C3ctxq1tqvaCgkFb8cCA/edit?usp=sharing"",""ศรีสะเกษ!M251"")"),0)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IFERROR(__xludf.DUMMYFUNCTION("IMPORTRANGE(""https://docs.google.com/spreadsheets/d/1XL5vhW3sbDhbH9Cz0tuDiY8C3ctxq1tqvaCgkFb8cCA/edit?usp=sharing"",""ศรีสะเกษ!M252"")"),18451.64)</f>
        <v>18451.64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IFERROR(__xludf.DUMMYFUNCTION("IMPORTRANGE(""https://docs.google.com/spreadsheets/d/1XL5vhW3sbDhbH9Cz0tuDiY8C3ctxq1tqvaCgkFb8cCA/edit?usp=sharing"",""ศรีสะเกษ!M253"")"),0)</f>
        <v>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IFERROR(__xludf.DUMMYFUNCTION("IMPORTRANGE(""https://docs.google.com/spreadsheets/d/1XL5vhW3sbDhbH9Cz0tuDiY8C3ctxq1tqvaCgkFb8cCA/edit?usp=sharing"",""ศรีสะเกษ!J255"")"),0)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IFERROR(__xludf.DUMMYFUNCTION("IMPORTRANGE(""https://docs.google.com/spreadsheets/d/1XL5vhW3sbDhbH9Cz0tuDiY8C3ctxq1tqvaCgkFb8cCA/edit?usp=sharing"",""ศรีสะเกษ!J256"")"),1)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IFERROR(__xludf.DUMMYFUNCTION("IMPORTRANGE(""https://docs.google.com/spreadsheets/d/1XL5vhW3sbDhbH9Cz0tuDiY8C3ctxq1tqvaCgkFb8cCA/edit?usp=sharing"",""ศรีสะเกษ!J257"")"),0)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IFERROR(__xludf.DUMMYFUNCTION("IMPORTRANGE(""https://docs.google.com/spreadsheets/d/1XL5vhW3sbDhbH9Cz0tuDiY8C3ctxq1tqvaCgkFb8cCA/edit?usp=sharing"",""ศรีสะเกษ!J258"")"),0)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IFERROR(__xludf.DUMMYFUNCTION("IMPORTRANGE(""https://docs.google.com/spreadsheets/d/1XL5vhW3sbDhbH9Cz0tuDiY8C3ctxq1tqvaCgkFb8cCA/edit?usp=sharing"",""ศรีสะเกษ!J166"")"),0)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IFERROR(__xludf.DUMMYFUNCTION("IMPORTRANGE(""https://docs.google.com/spreadsheets/d/1XL5vhW3sbDhbH9Cz0tuDiY8C3ctxq1tqvaCgkFb8cCA/edit?usp=sharing"",""ศรีสะเกษ!J166"")"),0)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IFERROR(__xludf.DUMMYFUNCTION("IMPORTRANGE(""https://docs.google.com/spreadsheets/d/1XL5vhW3sbDhbH9Cz0tuDiY8C3ctxq1tqvaCgkFb8cCA/edit?usp=sharing"",""ศรีสะเกษ!J166"")"),0)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IFERROR(__xludf.DUMMYFUNCTION("IMPORTRANGE(""https://docs.google.com/spreadsheets/d/1XL5vhW3sbDhbH9Cz0tuDiY8C3ctxq1tqvaCgkFb8cCA/edit?usp=sharing"",""ศรีสะเกษ!J166"")"),0)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IFERROR(__xludf.DUMMYFUNCTION("IMPORTRANGE(""https://docs.google.com/spreadsheets/d/1XL5vhW3sbDhbH9Cz0tuDiY8C3ctxq1tqvaCgkFb8cCA/edit?usp=sharing"",""ศรีสะเกษ!I263"")"),40)</f>
        <v>40</v>
      </c>
      <c r="J368" s="188">
        <f ca="1">IFERROR(__xludf.DUMMYFUNCTION("IMPORTRANGE(""https://docs.google.com/spreadsheets/d/1XL5vhW3sbDhbH9Cz0tuDiY8C3ctxq1tqvaCgkFb8cCA/edit?usp=sharing"",""ศรีสะเกษ!J263"")"),0)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IFERROR(__xludf.DUMMYFUNCTION("IMPORTRANGE(""https://docs.google.com/spreadsheets/d/1XL5vhW3sbDhbH9Cz0tuDiY8C3ctxq1tqvaCgkFb8cCA/edit?usp=sharing"",""ศรีสะเกษ!I164"")"),0)</f>
        <v>0</v>
      </c>
      <c r="J369" s="204">
        <f ca="1">IFERROR(__xludf.DUMMYFUNCTION("IMPORTRANGE(""https://docs.google.com/spreadsheets/d/1XL5vhW3sbDhbH9Cz0tuDiY8C3ctxq1tqvaCgkFb8cCA/edit?usp=sharing"",""ศรีสะเกษ!J164"")"),0)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293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IFERROR(__xludf.DUMMYFUNCTION("IMPORTRANGE(""https://docs.google.com/spreadsheets/d/1XL5vhW3sbDhbH9Cz0tuDiY8C3ctxq1tqvaCgkFb8cCA/edit?usp=sharing"",""ศรีสะเกษ!I265"")"),40)</f>
        <v>40</v>
      </c>
      <c r="J370" s="204">
        <f ca="1">IFERROR(__xludf.DUMMYFUNCTION("IMPORTRANGE(""https://docs.google.com/spreadsheets/d/1XL5vhW3sbDhbH9Cz0tuDiY8C3ctxq1tqvaCgkFb8cCA/edit?usp=sharing"",""ศรีสะเกษ!J265"")"),0)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IFERROR(__xludf.DUMMYFUNCTION("IMPORTRANGE(""https://docs.google.com/spreadsheets/d/1XL5vhW3sbDhbH9Cz0tuDiY8C3ctxq1tqvaCgkFb8cCA/edit?usp=sharing"",""ศรีสะเกษ!I164"")"),0)</f>
        <v>0</v>
      </c>
      <c r="J371" s="189">
        <f ca="1">IFERROR(__xludf.DUMMYFUNCTION("IMPORTRANGE(""https://docs.google.com/spreadsheets/d/1XL5vhW3sbDhbH9Cz0tuDiY8C3ctxq1tqvaCgkFb8cCA/edit?usp=sharing"",""ศรีสะเกษ!J164"")"),0)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293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IFERROR(__xludf.DUMMYFUNCTION("IMPORTRANGE(""https://docs.google.com/spreadsheets/d/1XL5vhW3sbDhbH9Cz0tuDiY8C3ctxq1tqvaCgkFb8cCA/edit?usp=sharing"",""ศรีสะเกษ!I267"")"),40)</f>
        <v>40</v>
      </c>
      <c r="J372" s="189">
        <f ca="1">IFERROR(__xludf.DUMMYFUNCTION("IMPORTRANGE(""https://docs.google.com/spreadsheets/d/1XL5vhW3sbDhbH9Cz0tuDiY8C3ctxq1tqvaCgkFb8cCA/edit?usp=sharing"",""ศรีสะเกษ!J267"")"),0)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IFERROR(__xludf.DUMMYFUNCTION("IMPORTRANGE(""https://docs.google.com/spreadsheets/d/1XL5vhW3sbDhbH9Cz0tuDiY8C3ctxq1tqvaCgkFb8cCA/edit?usp=sharing"",""ศรีสะเกษ!I164"")"),0)</f>
        <v>0</v>
      </c>
      <c r="J373" s="204">
        <f ca="1">IFERROR(__xludf.DUMMYFUNCTION("IMPORTRANGE(""https://docs.google.com/spreadsheets/d/1XL5vhW3sbDhbH9Cz0tuDiY8C3ctxq1tqvaCgkFb8cCA/edit?usp=sharing"",""ศรีสะเกษ!J164"")"),0)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IFERROR(__xludf.DUMMYFUNCTION("IMPORTRANGE(""https://docs.google.com/spreadsheets/d/1XL5vhW3sbDhbH9Cz0tuDiY8C3ctxq1tqvaCgkFb8cCA/edit?usp=sharing"",""ศรีสะเกษ!I164"")"),0)</f>
        <v>0</v>
      </c>
      <c r="J374" s="188">
        <f ca="1">IFERROR(__xludf.DUMMYFUNCTION("IMPORTRANGE(""https://docs.google.com/spreadsheets/d/1XL5vhW3sbDhbH9Cz0tuDiY8C3ctxq1tqvaCgkFb8cCA/edit?usp=sharing"",""ศรีสะเกษ!J164"")"),0)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IFERROR(__xludf.DUMMYFUNCTION("IMPORTRANGE(""https://docs.google.com/spreadsheets/d/1XL5vhW3sbDhbH9Cz0tuDiY8C3ctxq1tqvaCgkFb8cCA/edit?usp=sharing"",""ศรีสะเกษ!I270"")"),200)</f>
        <v>200</v>
      </c>
      <c r="J375" s="188">
        <f ca="1">IFERROR(__xludf.DUMMYFUNCTION("IMPORTRANGE(""https://docs.google.com/spreadsheets/d/1XL5vhW3sbDhbH9Cz0tuDiY8C3ctxq1tqvaCgkFb8cCA/edit?usp=sharing"",""ศรีสะเกษ!J270"")"),0)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IFERROR(__xludf.DUMMYFUNCTION("IMPORTRANGE(""https://docs.google.com/spreadsheets/d/1XL5vhW3sbDhbH9Cz0tuDiY8C3ctxq1tqvaCgkFb8cCA/edit?usp=sharing"",""ศรีสะเกษ!I271"")"),0)</f>
        <v>0</v>
      </c>
      <c r="J376" s="189">
        <f ca="1">IFERROR(__xludf.DUMMYFUNCTION("IMPORTRANGE(""https://docs.google.com/spreadsheets/d/1XL5vhW3sbDhbH9Cz0tuDiY8C3ctxq1tqvaCgkFb8cCA/edit?usp=sharing"",""ศรีสะเกษ!J271"")"),0)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IFERROR(__xludf.DUMMYFUNCTION("IMPORTRANGE(""https://docs.google.com/spreadsheets/d/1XL5vhW3sbDhbH9Cz0tuDiY8C3ctxq1tqvaCgkFb8cCA/edit?usp=sharing"",""ศรีสะเกษ!I272"")"),200)</f>
        <v>200</v>
      </c>
      <c r="J377" s="204">
        <f ca="1">IFERROR(__xludf.DUMMYFUNCTION("IMPORTRANGE(""https://docs.google.com/spreadsheets/d/1XL5vhW3sbDhbH9Cz0tuDiY8C3ctxq1tqvaCgkFb8cCA/edit?usp=sharing"",""ศรีสะเกษ!J272"")"),0)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IFERROR(__xludf.DUMMYFUNCTION("IMPORTRANGE(""https://docs.google.com/spreadsheets/d/1XL5vhW3sbDhbH9Cz0tuDiY8C3ctxq1tqvaCgkFb8cCA/edit?usp=sharing"",""ศรีสะเกษ!J273"")"),0)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IFERROR(__xludf.DUMMYFUNCTION("IMPORTRANGE(""https://docs.google.com/spreadsheets/d/1XL5vhW3sbDhbH9Cz0tuDiY8C3ctxq1tqvaCgkFb8cCA/edit?usp=sharing"",""ศรีสะเกษ!J274"")"),0)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IFERROR(__xludf.DUMMYFUNCTION("IMPORTRANGE(""https://docs.google.com/spreadsheets/d/1XL5vhW3sbDhbH9Cz0tuDiY8C3ctxq1tqvaCgkFb8cCA/edit?usp=sharing"",""ศรีสะเกษ!I275"")"),1000)</f>
        <v>1000</v>
      </c>
      <c r="J380" s="371">
        <f ca="1">IFERROR(__xludf.DUMMYFUNCTION("IMPORTRANGE(""https://docs.google.com/spreadsheets/d/1XL5vhW3sbDhbH9Cz0tuDiY8C3ctxq1tqvaCgkFb8cCA/edit?usp=sharing"",""ศรีสะเกษ!J275"")"),0)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IFERROR(__xludf.DUMMYFUNCTION("IMPORTRANGE(""https://docs.google.com/spreadsheets/d/1XL5vhW3sbDhbH9Cz0tuDiY8C3ctxq1tqvaCgkFb8cCA/edit?usp=sharing"",""ศรีสะเกษ!L275"")"),1028520)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IFERROR(__xludf.DUMMYFUNCTION("IMPORTRANGE(""https://docs.google.com/spreadsheets/d/1XL5vhW3sbDhbH9Cz0tuDiY8C3ctxq1tqvaCgkFb8cCA/edit?usp=sharing"",""ศรีสะเกษ!M275"")"),150086.64)</f>
        <v>150086.64000000001</v>
      </c>
      <c r="O380" s="373">
        <f ca="1">+IF(L380&gt;0,N380*100/L380,0)</f>
        <v>14.592486290981217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IFERROR(__xludf.DUMMYFUNCTION("IMPORTRANGE(""https://docs.google.com/spreadsheets/d/1XL5vhW3sbDhbH9Cz0tuDiY8C3ctxq1tqvaCgkFb8cCA/edit?usp=sharing"",""ศรีสะเกษ!I276"")"),100)</f>
        <v>100</v>
      </c>
      <c r="J381" s="371">
        <f ca="1">IFERROR(__xludf.DUMMYFUNCTION("IMPORTRANGE(""https://docs.google.com/spreadsheets/d/1XL5vhW3sbDhbH9Cz0tuDiY8C3ctxq1tqvaCgkFb8cCA/edit?usp=sharing"",""ศรีสะเกษ!J276"")"),100)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IFERROR(__xludf.DUMMYFUNCTION("IMPORTRANGE(""https://docs.google.com/spreadsheets/d/1XL5vhW3sbDhbH9Cz0tuDiY8C3ctxq1tqvaCgkFb8cCA/edit?usp=sharing"",""ศรีสะเกษ!L277"")"),0)</f>
        <v>0</v>
      </c>
      <c r="M382" s="164"/>
      <c r="N382" s="164">
        <f ca="1">IFERROR(__xludf.DUMMYFUNCTION("IMPORTRANGE(""https://docs.google.com/spreadsheets/d/1XL5vhW3sbDhbH9Cz0tuDiY8C3ctxq1tqvaCgkFb8cCA/edit?usp=sharing"",""ศรีสะเกษ!M277"")"),0)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IFERROR(__xludf.DUMMYFUNCTION("IMPORTRANGE(""https://docs.google.com/spreadsheets/d/1XL5vhW3sbDhbH9Cz0tuDiY8C3ctxq1tqvaCgkFb8cCA/edit?usp=sharing"",""ศรีสะเกษ!L278"")"),1028520)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IFERROR(__xludf.DUMMYFUNCTION("IMPORTRANGE(""https://docs.google.com/spreadsheets/d/1XL5vhW3sbDhbH9Cz0tuDiY8C3ctxq1tqvaCgkFb8cCA/edit?usp=sharing"",""ศรีสะเกษ!M278"")"),150086.64)</f>
        <v>150086.64000000001</v>
      </c>
      <c r="O383" s="165">
        <f t="shared" ca="1" si="109"/>
        <v>14.592486290981217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IFERROR(__xludf.DUMMYFUNCTION("IMPORTRANGE(""https://docs.google.com/spreadsheets/d/1XL5vhW3sbDhbH9Cz0tuDiY8C3ctxq1tqvaCgkFb8cCA/edit?usp=sharing"",""ศรีสะเกษ!L279"")"),0)</f>
        <v>0</v>
      </c>
      <c r="M384" s="169"/>
      <c r="N384" s="169">
        <f ca="1">IFERROR(__xludf.DUMMYFUNCTION("IMPORTRANGE(""https://docs.google.com/spreadsheets/d/1XL5vhW3sbDhbH9Cz0tuDiY8C3ctxq1tqvaCgkFb8cCA/edit?usp=sharing"",""ศรีสะเกษ!M279"")"),0)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IFERROR(__xludf.DUMMYFUNCTION("IMPORTRANGE(""https://docs.google.com/spreadsheets/d/1XL5vhW3sbDhbH9Cz0tuDiY8C3ctxq1tqvaCgkFb8cCA/edit?usp=sharing"",""ศรีสะเกษ!L280"")"),1028520)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IFERROR(__xludf.DUMMYFUNCTION("IMPORTRANGE(""https://docs.google.com/spreadsheets/d/1XL5vhW3sbDhbH9Cz0tuDiY8C3ctxq1tqvaCgkFb8cCA/edit?usp=sharing"",""ศรีสะเกษ!M280"")"),150086.64)</f>
        <v>150086.64000000001</v>
      </c>
      <c r="O385" s="169">
        <f t="shared" ca="1" si="109"/>
        <v>14.592486290981217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IFERROR(__xludf.DUMMYFUNCTION("IMPORTRANGE(""https://docs.google.com/spreadsheets/d/1XL5vhW3sbDhbH9Cz0tuDiY8C3ctxq1tqvaCgkFb8cCA/edit?usp=sharing"",""ศรีสะเกษ!M281"")"),83675)</f>
        <v>83675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IFERROR(__xludf.DUMMYFUNCTION("IMPORTRANGE(""https://docs.google.com/spreadsheets/d/1XL5vhW3sbDhbH9Cz0tuDiY8C3ctxq1tqvaCgkFb8cCA/edit?usp=sharing"",""ศรีสะเกษ!M282"")"),0)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IFERROR(__xludf.DUMMYFUNCTION("IMPORTRANGE(""https://docs.google.com/spreadsheets/d/1XL5vhW3sbDhbH9Cz0tuDiY8C3ctxq1tqvaCgkFb8cCA/edit?usp=sharing"",""ศรีสะเกษ!M283"")"),51451.64)</f>
        <v>51451.64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IFERROR(__xludf.DUMMYFUNCTION("IMPORTRANGE(""https://docs.google.com/spreadsheets/d/1XL5vhW3sbDhbH9Cz0tuDiY8C3ctxq1tqvaCgkFb8cCA/edit?usp=sharing"",""ศรีสะเกษ!M284"")"),14960)</f>
        <v>14960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IFERROR(__xludf.DUMMYFUNCTION("IMPORTRANGE(""https://docs.google.com/spreadsheets/d/1XL5vhW3sbDhbH9Cz0tuDiY8C3ctxq1tqvaCgkFb8cCA/edit?usp=sharing"",""ศรีสะเกษ!J286"")"),0)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IFERROR(__xludf.DUMMYFUNCTION("IMPORTRANGE(""https://docs.google.com/spreadsheets/d/1XL5vhW3sbDhbH9Cz0tuDiY8C3ctxq1tqvaCgkFb8cCA/edit?usp=sharing"",""ศรีสะเกษ!J287"")"),1)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IFERROR(__xludf.DUMMYFUNCTION("IMPORTRANGE(""https://docs.google.com/spreadsheets/d/1XL5vhW3sbDhbH9Cz0tuDiY8C3ctxq1tqvaCgkFb8cCA/edit?usp=sharing"",""ศรีสะเกษ!J288"")"),0)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IFERROR(__xludf.DUMMYFUNCTION("IMPORTRANGE(""https://docs.google.com/spreadsheets/d/1XL5vhW3sbDhbH9Cz0tuDiY8C3ctxq1tqvaCgkFb8cCA/edit?usp=sharing"",""ศรีสะเกษ!J289"")"),0)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IFERROR(__xludf.DUMMYFUNCTION("IMPORTRANGE(""https://docs.google.com/spreadsheets/d/1XL5vhW3sbDhbH9Cz0tuDiY8C3ctxq1tqvaCgkFb8cCA/edit?usp=sharing"",""ศรีสะเกษ!I291"")"),100)</f>
        <v>100</v>
      </c>
      <c r="J396" s="198">
        <f ca="1">IFERROR(__xludf.DUMMYFUNCTION("IMPORTRANGE(""https://docs.google.com/spreadsheets/d/1XL5vhW3sbDhbH9Cz0tuDiY8C3ctxq1tqvaCgkFb8cCA/edit?usp=sharing"",""ศรีสะเกษ!J291"")"),100)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IFERROR(__xludf.DUMMYFUNCTION("IMPORTRANGE(""https://docs.google.com/spreadsheets/d/1XL5vhW3sbDhbH9Cz0tuDiY8C3ctxq1tqvaCgkFb8cCA/edit?usp=sharing"",""ศรีสะเกษ!I292"")"),1000)</f>
        <v>1000</v>
      </c>
      <c r="J397" s="198">
        <f ca="1">IFERROR(__xludf.DUMMYFUNCTION("IMPORTRANGE(""https://docs.google.com/spreadsheets/d/1XL5vhW3sbDhbH9Cz0tuDiY8C3ctxq1tqvaCgkFb8cCA/edit?usp=sharing"",""ศรีสะเกษ!J292"")"),0)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IFERROR(__xludf.DUMMYFUNCTION("IMPORTRANGE(""https://docs.google.com/spreadsheets/d/1XL5vhW3sbDhbH9Cz0tuDiY8C3ctxq1tqvaCgkFb8cCA/edit?usp=sharing"",""ศรีสะเกษ!I293"")"),100)</f>
        <v>100</v>
      </c>
      <c r="J398" s="198">
        <f ca="1">IFERROR(__xludf.DUMMYFUNCTION("IMPORTRANGE(""https://docs.google.com/spreadsheets/d/1XL5vhW3sbDhbH9Cz0tuDiY8C3ctxq1tqvaCgkFb8cCA/edit?usp=sharing"",""ศรีสะเกษ!J293"")"),0)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IFERROR(__xludf.DUMMYFUNCTION("IMPORTRANGE(""https://docs.google.com/spreadsheets/d/1XL5vhW3sbDhbH9Cz0tuDiY8C3ctxq1tqvaCgkFb8cCA/edit?usp=sharing"",""ศรีสะเกษ!J294"")"),0)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IFERROR(__xludf.DUMMYFUNCTION("IMPORTRANGE(""https://docs.google.com/spreadsheets/d/1XL5vhW3sbDhbH9Cz0tuDiY8C3ctxq1tqvaCgkFb8cCA/edit?usp=sharing"",""ศรีสะเกษ!J295"")"),0)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IFERROR(__xludf.DUMMYFUNCTION("IMPORTRANGE(""https://docs.google.com/spreadsheets/d/1XL5vhW3sbDhbH9Cz0tuDiY8C3ctxq1tqvaCgkFb8cCA/edit?usp=sharing"",""ศรีสะเกษ!I296"")"),195)</f>
        <v>195</v>
      </c>
      <c r="J401" s="371">
        <f ca="1">IFERROR(__xludf.DUMMYFUNCTION("IMPORTRANGE(""https://docs.google.com/spreadsheets/d/1XL5vhW3sbDhbH9Cz0tuDiY8C3ctxq1tqvaCgkFb8cCA/edit?usp=sharing"",""ศรีสะเกษ!J296"")"),0)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IFERROR(__xludf.DUMMYFUNCTION("IMPORTRANGE(""https://docs.google.com/spreadsheets/d/1XL5vhW3sbDhbH9Cz0tuDiY8C3ctxq1tqvaCgkFb8cCA/edit?usp=sharing"",""ศรีสะเกษ!L296"")"),206330)</f>
        <v>206330</v>
      </c>
      <c r="M401" s="373"/>
      <c r="N401" s="373">
        <f ca="1">IFERROR(__xludf.DUMMYFUNCTION("IMPORTRANGE(""https://docs.google.com/spreadsheets/d/1XL5vhW3sbDhbH9Cz0tuDiY8C3ctxq1tqvaCgkFb8cCA/edit?usp=sharing"",""ศรีสะเกษ!M296"")"),193100)</f>
        <v>193100</v>
      </c>
      <c r="O401" s="373">
        <f ca="1">+IF(L401&gt;0,N401*100/L401,0)</f>
        <v>93.587941646876359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IFERROR(__xludf.DUMMYFUNCTION("IMPORTRANGE(""https://docs.google.com/spreadsheets/d/1XL5vhW3sbDhbH9Cz0tuDiY8C3ctxq1tqvaCgkFb8cCA/edit?usp=sharing"",""ศรีสะเกษ!I297"")"),65)</f>
        <v>65</v>
      </c>
      <c r="J402" s="371">
        <f ca="1">IFERROR(__xludf.DUMMYFUNCTION("IMPORTRANGE(""https://docs.google.com/spreadsheets/d/1XL5vhW3sbDhbH9Cz0tuDiY8C3ctxq1tqvaCgkFb8cCA/edit?usp=sharing"",""ศรีสะเกษ!J297"")"),65)</f>
        <v>65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IFERROR(__xludf.DUMMYFUNCTION("IMPORTRANGE(""https://docs.google.com/spreadsheets/d/1XL5vhW3sbDhbH9Cz0tuDiY8C3ctxq1tqvaCgkFb8cCA/edit?usp=sharing"",""ศรีสะเกษ!L298"")"),0)</f>
        <v>0</v>
      </c>
      <c r="M403" s="164"/>
      <c r="N403" s="169">
        <f ca="1">IFERROR(__xludf.DUMMYFUNCTION("IMPORTRANGE(""https://docs.google.com/spreadsheets/d/1XL5vhW3sbDhbH9Cz0tuDiY8C3ctxq1tqvaCgkFb8cCA/edit?usp=sharing"",""ศรีสะเกษ!M298"")"),0)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IFERROR(__xludf.DUMMYFUNCTION("IMPORTRANGE(""https://docs.google.com/spreadsheets/d/1XL5vhW3sbDhbH9Cz0tuDiY8C3ctxq1tqvaCgkFb8cCA/edit?usp=sharing"",""ศรีสะเกษ!L299"")"),206330)</f>
        <v>206330</v>
      </c>
      <c r="M404" s="165"/>
      <c r="N404" s="169">
        <f ca="1">IFERROR(__xludf.DUMMYFUNCTION("IMPORTRANGE(""https://docs.google.com/spreadsheets/d/1XL5vhW3sbDhbH9Cz0tuDiY8C3ctxq1tqvaCgkFb8cCA/edit?usp=sharing"",""ศรีสะเกษ!M299"")"),193100)</f>
        <v>193100</v>
      </c>
      <c r="O404" s="169">
        <f t="shared" ca="1" si="112"/>
        <v>93.587941646876359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IFERROR(__xludf.DUMMYFUNCTION("IMPORTRANGE(""https://docs.google.com/spreadsheets/d/1XL5vhW3sbDhbH9Cz0tuDiY8C3ctxq1tqvaCgkFb8cCA/edit?usp=sharing"",""ศรีสะเกษ!L300"")"),0)</f>
        <v>0</v>
      </c>
      <c r="M405" s="169"/>
      <c r="N405" s="169">
        <f ca="1">IFERROR(__xludf.DUMMYFUNCTION("IMPORTRANGE(""https://docs.google.com/spreadsheets/d/1XL5vhW3sbDhbH9Cz0tuDiY8C3ctxq1tqvaCgkFb8cCA/edit?usp=sharing"",""ศรีสะเกษ!M300"")"),0)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IFERROR(__xludf.DUMMYFUNCTION("IMPORTRANGE(""https://docs.google.com/spreadsheets/d/1XL5vhW3sbDhbH9Cz0tuDiY8C3ctxq1tqvaCgkFb8cCA/edit?usp=sharing"",""ศรีสะเกษ!L301"")"),206330)</f>
        <v>206330</v>
      </c>
      <c r="M406" s="169"/>
      <c r="N406" s="169">
        <f ca="1">IFERROR(__xludf.DUMMYFUNCTION("IMPORTRANGE(""https://docs.google.com/spreadsheets/d/1XL5vhW3sbDhbH9Cz0tuDiY8C3ctxq1tqvaCgkFb8cCA/edit?usp=sharing"",""ศรีสะเกษ!M301"")"),193100)</f>
        <v>193100</v>
      </c>
      <c r="O406" s="169">
        <f t="shared" ca="1" si="112"/>
        <v>93.587941646876359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IFERROR(__xludf.DUMMYFUNCTION("IMPORTRANGE(""https://docs.google.com/spreadsheets/d/1XL5vhW3sbDhbH9Cz0tuDiY8C3ctxq1tqvaCgkFb8cCA/edit?usp=sharing"",""ศรีสะเกษ!M302"")"),127850)</f>
        <v>127850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IFERROR(__xludf.DUMMYFUNCTION("IMPORTRANGE(""https://docs.google.com/spreadsheets/d/1XL5vhW3sbDhbH9Cz0tuDiY8C3ctxq1tqvaCgkFb8cCA/edit?usp=sharing"",""ศรีสะเกษ!M303"")"),44000)</f>
        <v>44000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IFERROR(__xludf.DUMMYFUNCTION("IMPORTRANGE(""https://docs.google.com/spreadsheets/d/1XL5vhW3sbDhbH9Cz0tuDiY8C3ctxq1tqvaCgkFb8cCA/edit?usp=sharing"",""ศรีสะเกษ!M304"")"),0)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IFERROR(__xludf.DUMMYFUNCTION("IMPORTRANGE(""https://docs.google.com/spreadsheets/d/1XL5vhW3sbDhbH9Cz0tuDiY8C3ctxq1tqvaCgkFb8cCA/edit?usp=sharing"",""ศรีสะเกษ!M305"")"),21250)</f>
        <v>21250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IFERROR(__xludf.DUMMYFUNCTION("IMPORTRANGE(""https://docs.google.com/spreadsheets/d/1XL5vhW3sbDhbH9Cz0tuDiY8C3ctxq1tqvaCgkFb8cCA/edit?usp=sharing"",""ศรีสะเกษ!J307"")"),0)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IFERROR(__xludf.DUMMYFUNCTION("IMPORTRANGE(""https://docs.google.com/spreadsheets/d/1XL5vhW3sbDhbH9Cz0tuDiY8C3ctxq1tqvaCgkFb8cCA/edit?usp=sharing"",""ศรีสะเกษ!J308"")"),1)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IFERROR(__xludf.DUMMYFUNCTION("IMPORTRANGE(""https://docs.google.com/spreadsheets/d/1XL5vhW3sbDhbH9Cz0tuDiY8C3ctxq1tqvaCgkFb8cCA/edit?usp=sharing"",""ศรีสะเกษ!J309"")"),1)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IFERROR(__xludf.DUMMYFUNCTION("IMPORTRANGE(""https://docs.google.com/spreadsheets/d/1XL5vhW3sbDhbH9Cz0tuDiY8C3ctxq1tqvaCgkFb8cCA/edit?usp=sharing"",""ศรีสะเกษ!J310"")"),1)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IFERROR(__xludf.DUMMYFUNCTION("IMPORTRANGE(""https://docs.google.com/spreadsheets/d/1XL5vhW3sbDhbH9Cz0tuDiY8C3ctxq1tqvaCgkFb8cCA/edit?usp=sharing"",""ศรีสะเกษ!I311"")"),65)</f>
        <v>65</v>
      </c>
      <c r="J416" s="201">
        <f ca="1">IFERROR(__xludf.DUMMYFUNCTION("IMPORTRANGE(""https://docs.google.com/spreadsheets/d/1XL5vhW3sbDhbH9Cz0tuDiY8C3ctxq1tqvaCgkFb8cCA/edit?usp=sharing"",""ศรีสะเกษ!J311"")"),65)</f>
        <v>65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IFERROR(__xludf.DUMMYFUNCTION("IMPORTRANGE(""https://docs.google.com/spreadsheets/d/1XL5vhW3sbDhbH9Cz0tuDiY8C3ctxq1tqvaCgkFb8cCA/edit?usp=sharing"",""ศรีสะเกษ!I312"")"),13)</f>
        <v>13</v>
      </c>
      <c r="J417" s="392">
        <f ca="1">IFERROR(__xludf.DUMMYFUNCTION("IMPORTRANGE(""https://docs.google.com/spreadsheets/d/1XL5vhW3sbDhbH9Cz0tuDiY8C3ctxq1tqvaCgkFb8cCA/edit?usp=sharing"",""ศรีสะเกษ!J312"")"),13)</f>
        <v>13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IFERROR(__xludf.DUMMYFUNCTION("IMPORTRANGE(""https://docs.google.com/spreadsheets/d/1XL5vhW3sbDhbH9Cz0tuDiY8C3ctxq1tqvaCgkFb8cCA/edit?usp=sharing"",""ศรีสะเกษ!I313"")"),39)</f>
        <v>39</v>
      </c>
      <c r="J418" s="393">
        <f ca="1">IFERROR(__xludf.DUMMYFUNCTION("IMPORTRANGE(""https://docs.google.com/spreadsheets/d/1XL5vhW3sbDhbH9Cz0tuDiY8C3ctxq1tqvaCgkFb8cCA/edit?usp=sharing"",""ศรีสะเกษ!J313"")"),0)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IFERROR(__xludf.DUMMYFUNCTION("IMPORTRANGE(""https://docs.google.com/spreadsheets/d/1XL5vhW3sbDhbH9Cz0tuDiY8C3ctxq1tqvaCgkFb8cCA/edit?usp=sharing"",""ศรีสะเกษ!I314"")"),13)</f>
        <v>13</v>
      </c>
      <c r="J419" s="394">
        <f ca="1">IFERROR(__xludf.DUMMYFUNCTION("IMPORTRANGE(""https://docs.google.com/spreadsheets/d/1XL5vhW3sbDhbH9Cz0tuDiY8C3ctxq1tqvaCgkFb8cCA/edit?usp=sharing"",""ศรีสะเกษ!J314"")"),13)</f>
        <v>13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IFERROR(__xludf.DUMMYFUNCTION("IMPORTRANGE(""https://docs.google.com/spreadsheets/d/1XL5vhW3sbDhbH9Cz0tuDiY8C3ctxq1tqvaCgkFb8cCA/edit?usp=sharing"",""ศรีสะเกษ!I315"")"),13)</f>
        <v>13</v>
      </c>
      <c r="J420" s="394">
        <f ca="1">IFERROR(__xludf.DUMMYFUNCTION("IMPORTRANGE(""https://docs.google.com/spreadsheets/d/1XL5vhW3sbDhbH9Cz0tuDiY8C3ctxq1tqvaCgkFb8cCA/edit?usp=sharing"",""ศรีสะเกษ!J315"")"),13)</f>
        <v>13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IFERROR(__xludf.DUMMYFUNCTION("IMPORTRANGE(""https://docs.google.com/spreadsheets/d/1XL5vhW3sbDhbH9Cz0tuDiY8C3ctxq1tqvaCgkFb8cCA/edit?usp=sharing"",""ศรีสะเกษ!I316"")"),35)</f>
        <v>35</v>
      </c>
      <c r="J421" s="392">
        <f ca="1">IFERROR(__xludf.DUMMYFUNCTION("IMPORTRANGE(""https://docs.google.com/spreadsheets/d/1XL5vhW3sbDhbH9Cz0tuDiY8C3ctxq1tqvaCgkFb8cCA/edit?usp=sharing"",""ศรีสะเกษ!J316"")"),35)</f>
        <v>35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IFERROR(__xludf.DUMMYFUNCTION("IMPORTRANGE(""https://docs.google.com/spreadsheets/d/1XL5vhW3sbDhbH9Cz0tuDiY8C3ctxq1tqvaCgkFb8cCA/edit?usp=sharing"",""ศรีสะเกษ!I317"")"),105)</f>
        <v>105</v>
      </c>
      <c r="J422" s="393">
        <f ca="1">IFERROR(__xludf.DUMMYFUNCTION("IMPORTRANGE(""https://docs.google.com/spreadsheets/d/1XL5vhW3sbDhbH9Cz0tuDiY8C3ctxq1tqvaCgkFb8cCA/edit?usp=sharing"",""ศรีสะเกษ!J317"")"),0)</f>
        <v>0</v>
      </c>
      <c r="K422" s="202">
        <f t="shared" ca="1" si="113"/>
        <v>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IFERROR(__xludf.DUMMYFUNCTION("IMPORTRANGE(""https://docs.google.com/spreadsheets/d/1XL5vhW3sbDhbH9Cz0tuDiY8C3ctxq1tqvaCgkFb8cCA/edit?usp=sharing"",""ศรีสะเกษ!I318"")"),35)</f>
        <v>35</v>
      </c>
      <c r="J423" s="394">
        <f ca="1">IFERROR(__xludf.DUMMYFUNCTION("IMPORTRANGE(""https://docs.google.com/spreadsheets/d/1XL5vhW3sbDhbH9Cz0tuDiY8C3ctxq1tqvaCgkFb8cCA/edit?usp=sharing"",""ศรีสะเกษ!J318"")"),35)</f>
        <v>35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IFERROR(__xludf.DUMMYFUNCTION("IMPORTRANGE(""https://docs.google.com/spreadsheets/d/1XL5vhW3sbDhbH9Cz0tuDiY8C3ctxq1tqvaCgkFb8cCA/edit?usp=sharing"",""ศรีสะเกษ!I319"")"),35)</f>
        <v>35</v>
      </c>
      <c r="J424" s="394">
        <f ca="1">IFERROR(__xludf.DUMMYFUNCTION("IMPORTRANGE(""https://docs.google.com/spreadsheets/d/1XL5vhW3sbDhbH9Cz0tuDiY8C3ctxq1tqvaCgkFb8cCA/edit?usp=sharing"",""ศรีสะเกษ!J319"")"),35)</f>
        <v>35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IFERROR(__xludf.DUMMYFUNCTION("IMPORTRANGE(""https://docs.google.com/spreadsheets/d/1XL5vhW3sbDhbH9Cz0tuDiY8C3ctxq1tqvaCgkFb8cCA/edit?usp=sharing"",""ศรีสะเกษ!I320"")"),35)</f>
        <v>35</v>
      </c>
      <c r="J425" s="394">
        <f ca="1">IFERROR(__xludf.DUMMYFUNCTION("IMPORTRANGE(""https://docs.google.com/spreadsheets/d/1XL5vhW3sbDhbH9Cz0tuDiY8C3ctxq1tqvaCgkFb8cCA/edit?usp=sharing"",""ศรีสะเกษ!J320"")"),35)</f>
        <v>35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IFERROR(__xludf.DUMMYFUNCTION("IMPORTRANGE(""https://docs.google.com/spreadsheets/d/1XL5vhW3sbDhbH9Cz0tuDiY8C3ctxq1tqvaCgkFb8cCA/edit?usp=sharing"",""ศรีสะเกษ!I321"")"),17)</f>
        <v>17</v>
      </c>
      <c r="J426" s="392">
        <f ca="1">IFERROR(__xludf.DUMMYFUNCTION("IMPORTRANGE(""https://docs.google.com/spreadsheets/d/1XL5vhW3sbDhbH9Cz0tuDiY8C3ctxq1tqvaCgkFb8cCA/edit?usp=sharing"",""ศรีสะเกษ!J321"")"),17)</f>
        <v>17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IFERROR(__xludf.DUMMYFUNCTION("IMPORTRANGE(""https://docs.google.com/spreadsheets/d/1XL5vhW3sbDhbH9Cz0tuDiY8C3ctxq1tqvaCgkFb8cCA/edit?usp=sharing"",""ศรีสะเกษ!I322"")"),51)</f>
        <v>51</v>
      </c>
      <c r="J427" s="393">
        <f ca="1">IFERROR(__xludf.DUMMYFUNCTION("IMPORTRANGE(""https://docs.google.com/spreadsheets/d/1XL5vhW3sbDhbH9Cz0tuDiY8C3ctxq1tqvaCgkFb8cCA/edit?usp=sharing"",""ศรีสะเกษ!J322"")"),0)</f>
        <v>0</v>
      </c>
      <c r="K427" s="202">
        <f t="shared" ca="1" si="113"/>
        <v>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IFERROR(__xludf.DUMMYFUNCTION("IMPORTRANGE(""https://docs.google.com/spreadsheets/d/1XL5vhW3sbDhbH9Cz0tuDiY8C3ctxq1tqvaCgkFb8cCA/edit?usp=sharing"",""ศรีสะเกษ!I323"")"),17)</f>
        <v>17</v>
      </c>
      <c r="J428" s="394">
        <f ca="1">IFERROR(__xludf.DUMMYFUNCTION("IMPORTRANGE(""https://docs.google.com/spreadsheets/d/1XL5vhW3sbDhbH9Cz0tuDiY8C3ctxq1tqvaCgkFb8cCA/edit?usp=sharing"",""ศรีสะเกษ!J323"")"),17)</f>
        <v>17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IFERROR(__xludf.DUMMYFUNCTION("IMPORTRANGE(""https://docs.google.com/spreadsheets/d/1XL5vhW3sbDhbH9Cz0tuDiY8C3ctxq1tqvaCgkFb8cCA/edit?usp=sharing"",""ศรีสะเกษ!I324"")"),17)</f>
        <v>17</v>
      </c>
      <c r="J429" s="394">
        <f ca="1">IFERROR(__xludf.DUMMYFUNCTION("IMPORTRANGE(""https://docs.google.com/spreadsheets/d/1XL5vhW3sbDhbH9Cz0tuDiY8C3ctxq1tqvaCgkFb8cCA/edit?usp=sharing"",""ศรีสะเกษ!J324"")"),17)</f>
        <v>17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IFERROR(__xludf.DUMMYFUNCTION("IMPORTRANGE(""https://docs.google.com/spreadsheets/d/1XL5vhW3sbDhbH9Cz0tuDiY8C3ctxq1tqvaCgkFb8cCA/edit?usp=sharing"",""ศรีสะเกษ!I325"")"),48)</f>
        <v>48</v>
      </c>
      <c r="J430" s="392">
        <f ca="1">IFERROR(__xludf.DUMMYFUNCTION("IMPORTRANGE(""https://docs.google.com/spreadsheets/d/1XL5vhW3sbDhbH9Cz0tuDiY8C3ctxq1tqvaCgkFb8cCA/edit?usp=sharing"",""ศรีสะเกษ!J325"")"),48)</f>
        <v>48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IFERROR(__xludf.DUMMYFUNCTION("IMPORTRANGE(""https://docs.google.com/spreadsheets/d/1XL5vhW3sbDhbH9Cz0tuDiY8C3ctxq1tqvaCgkFb8cCA/edit?usp=sharing"",""ศรีสะเกษ!I326"")"),13)</f>
        <v>13</v>
      </c>
      <c r="J431" s="394">
        <f ca="1">IFERROR(__xludf.DUMMYFUNCTION("IMPORTRANGE(""https://docs.google.com/spreadsheets/d/1XL5vhW3sbDhbH9Cz0tuDiY8C3ctxq1tqvaCgkFb8cCA/edit?usp=sharing"",""ศรีสะเกษ!J326"")"),13)</f>
        <v>13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IFERROR(__xludf.DUMMYFUNCTION("IMPORTRANGE(""https://docs.google.com/spreadsheets/d/1XL5vhW3sbDhbH9Cz0tuDiY8C3ctxq1tqvaCgkFb8cCA/edit?usp=sharing"",""ศรีสะเกษ!I327"")"),35)</f>
        <v>35</v>
      </c>
      <c r="J432" s="394">
        <f ca="1">IFERROR(__xludf.DUMMYFUNCTION("IMPORTRANGE(""https://docs.google.com/spreadsheets/d/1XL5vhW3sbDhbH9Cz0tuDiY8C3ctxq1tqvaCgkFb8cCA/edit?usp=sharing"",""ศรีสะเกษ!J327"")"),35)</f>
        <v>35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IFERROR(__xludf.DUMMYFUNCTION("IMPORTRANGE(""https://docs.google.com/spreadsheets/d/1XL5vhW3sbDhbH9Cz0tuDiY8C3ctxq1tqvaCgkFb8cCA/edit?usp=sharing"",""ศรีสะเกษ!J328"")"),0)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IFERROR(__xludf.DUMMYFUNCTION("IMPORTRANGE(""https://docs.google.com/spreadsheets/d/1XL5vhW3sbDhbH9Cz0tuDiY8C3ctxq1tqvaCgkFb8cCA/edit?usp=sharing"",""ศรีสะเกษ!J329"")"),0)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IFERROR(__xludf.DUMMYFUNCTION("IMPORTRANGE(""https://docs.google.com/spreadsheets/d/1XL5vhW3sbDhbH9Cz0tuDiY8C3ctxq1tqvaCgkFb8cCA/edit?usp=sharing"",""ศรีสะเกษ!I330"")"),35)</f>
        <v>35</v>
      </c>
      <c r="J435" s="410">
        <f ca="1">IFERROR(__xludf.DUMMYFUNCTION("IMPORTRANGE(""https://docs.google.com/spreadsheets/d/1XL5vhW3sbDhbH9Cz0tuDiY8C3ctxq1tqvaCgkFb8cCA/edit?usp=sharing"",""ศรีสะเกษ!J330"")"),0)</f>
        <v>0</v>
      </c>
      <c r="K435" s="411">
        <f ca="1">IF(I435&gt;0,J435*100/I435,0)</f>
        <v>0</v>
      </c>
      <c r="L435" s="412">
        <f ca="1">IFERROR(__xludf.DUMMYFUNCTION("IMPORTRANGE(""https://docs.google.com/spreadsheets/d/1XL5vhW3sbDhbH9Cz0tuDiY8C3ctxq1tqvaCgkFb8cCA/edit?usp=sharing"",""ศรีสะเกษ!L330"")"),133000)</f>
        <v>133000</v>
      </c>
      <c r="M435" s="412"/>
      <c r="N435" s="412">
        <f ca="1">IFERROR(__xludf.DUMMYFUNCTION("IMPORTRANGE(""https://docs.google.com/spreadsheets/d/1XL5vhW3sbDhbH9Cz0tuDiY8C3ctxq1tqvaCgkFb8cCA/edit?usp=sharing"",""ศรีสะเกษ!M330"")"),32120)</f>
        <v>32120</v>
      </c>
      <c r="O435" s="412">
        <f t="shared" ref="O435:O439" ca="1" si="114">+IF(L435&gt;0,N435*100/L435,0)</f>
        <v>24.150375939849624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IFERROR(__xludf.DUMMYFUNCTION("IMPORTRANGE(""https://docs.google.com/spreadsheets/d/1XL5vhW3sbDhbH9Cz0tuDiY8C3ctxq1tqvaCgkFb8cCA/edit?usp=sharing"",""ศรีสะเกษ!L331"")"),0)</f>
        <v>0</v>
      </c>
      <c r="M436" s="164"/>
      <c r="N436" s="169">
        <f ca="1">IFERROR(__xludf.DUMMYFUNCTION("IMPORTRANGE(""https://docs.google.com/spreadsheets/d/1XL5vhW3sbDhbH9Cz0tuDiY8C3ctxq1tqvaCgkFb8cCA/edit?usp=sharing"",""ศรีสะเกษ!M331"")"),0)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IFERROR(__xludf.DUMMYFUNCTION("IMPORTRANGE(""https://docs.google.com/spreadsheets/d/1XL5vhW3sbDhbH9Cz0tuDiY8C3ctxq1tqvaCgkFb8cCA/edit?usp=sharing"",""ศรีสะเกษ!L332"")"),133000)</f>
        <v>133000</v>
      </c>
      <c r="M437" s="165"/>
      <c r="N437" s="169">
        <f ca="1">IFERROR(__xludf.DUMMYFUNCTION("IMPORTRANGE(""https://docs.google.com/spreadsheets/d/1XL5vhW3sbDhbH9Cz0tuDiY8C3ctxq1tqvaCgkFb8cCA/edit?usp=sharing"",""ศรีสะเกษ!M332"")"),32120)</f>
        <v>32120</v>
      </c>
      <c r="O437" s="169">
        <f t="shared" ca="1" si="114"/>
        <v>24.150375939849624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IFERROR(__xludf.DUMMYFUNCTION("IMPORTRANGE(""https://docs.google.com/spreadsheets/d/1XL5vhW3sbDhbH9Cz0tuDiY8C3ctxq1tqvaCgkFb8cCA/edit?usp=sharing"",""ศรีสะเกษ!L333"")"),0)</f>
        <v>0</v>
      </c>
      <c r="M438" s="169"/>
      <c r="N438" s="169">
        <f ca="1">IFERROR(__xludf.DUMMYFUNCTION("IMPORTRANGE(""https://docs.google.com/spreadsheets/d/1XL5vhW3sbDhbH9Cz0tuDiY8C3ctxq1tqvaCgkFb8cCA/edit?usp=sharing"",""ศรีสะเกษ!M333"")"),0)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IFERROR(__xludf.DUMMYFUNCTION("IMPORTRANGE(""https://docs.google.com/spreadsheets/d/1XL5vhW3sbDhbH9Cz0tuDiY8C3ctxq1tqvaCgkFb8cCA/edit?usp=sharing"",""ศรีสะเกษ!L334"")"),133000)</f>
        <v>133000</v>
      </c>
      <c r="M439" s="169"/>
      <c r="N439" s="169">
        <f ca="1">IFERROR(__xludf.DUMMYFUNCTION("IMPORTRANGE(""https://docs.google.com/spreadsheets/d/1XL5vhW3sbDhbH9Cz0tuDiY8C3ctxq1tqvaCgkFb8cCA/edit?usp=sharing"",""ศรีสะเกษ!M334"")"),32120)</f>
        <v>32120</v>
      </c>
      <c r="O439" s="169">
        <f t="shared" ca="1" si="114"/>
        <v>24.150375939849624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IFERROR(__xludf.DUMMYFUNCTION("IMPORTRANGE(""https://docs.google.com/spreadsheets/d/1XL5vhW3sbDhbH9Cz0tuDiY8C3ctxq1tqvaCgkFb8cCA/edit?usp=sharing"",""ศรีสะเกษ!M335"")"),32120)</f>
        <v>32120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IFERROR(__xludf.DUMMYFUNCTION("IMPORTRANGE(""https://docs.google.com/spreadsheets/d/1XL5vhW3sbDhbH9Cz0tuDiY8C3ctxq1tqvaCgkFb8cCA/edit?usp=sharing"",""ศรีสะเกษ!M336"")"),0)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IFERROR(__xludf.DUMMYFUNCTION("IMPORTRANGE(""https://docs.google.com/spreadsheets/d/1XL5vhW3sbDhbH9Cz0tuDiY8C3ctxq1tqvaCgkFb8cCA/edit?usp=sharing"",""ศรีสะเกษ!M337"")"),0)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IFERROR(__xludf.DUMMYFUNCTION("IMPORTRANGE(""https://docs.google.com/spreadsheets/d/1XL5vhW3sbDhbH9Cz0tuDiY8C3ctxq1tqvaCgkFb8cCA/edit?usp=sharing"",""ศรีสะเกษ!M338"")"),0)</f>
        <v>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IFERROR(__xludf.DUMMYFUNCTION("IMPORTRANGE(""https://docs.google.com/spreadsheets/d/1XL5vhW3sbDhbH9Cz0tuDiY8C3ctxq1tqvaCgkFb8cCA/edit?usp=sharing"",""ศรีสะเกษ!J340"")"),0)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IFERROR(__xludf.DUMMYFUNCTION("IMPORTRANGE(""https://docs.google.com/spreadsheets/d/1XL5vhW3sbDhbH9Cz0tuDiY8C3ctxq1tqvaCgkFb8cCA/edit?usp=sharing"",""ศรีสะเกษ!J341"")"),1)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IFERROR(__xludf.DUMMYFUNCTION("IMPORTRANGE(""https://docs.google.com/spreadsheets/d/1XL5vhW3sbDhbH9Cz0tuDiY8C3ctxq1tqvaCgkFb8cCA/edit?usp=sharing"",""ศรีสะเกษ!J342"")"),1)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IFERROR(__xludf.DUMMYFUNCTION("IMPORTRANGE(""https://docs.google.com/spreadsheets/d/1XL5vhW3sbDhbH9Cz0tuDiY8C3ctxq1tqvaCgkFb8cCA/edit?usp=sharing"",""ศรีสะเกษ!J343"")"),1)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IFERROR(__xludf.DUMMYFUNCTION("IMPORTRANGE(""https://docs.google.com/spreadsheets/d/1XL5vhW3sbDhbH9Cz0tuDiY8C3ctxq1tqvaCgkFb8cCA/edit?usp=sharing"",""ศรีสะเกษ!I344"")"),35)</f>
        <v>35</v>
      </c>
      <c r="J449" s="201">
        <f ca="1">IFERROR(__xludf.DUMMYFUNCTION("IMPORTRANGE(""https://docs.google.com/spreadsheets/d/1XL5vhW3sbDhbH9Cz0tuDiY8C3ctxq1tqvaCgkFb8cCA/edit?usp=sharing"",""ศรีสะเกษ!J344"")"),0)</f>
        <v>0</v>
      </c>
      <c r="K449" s="163">
        <f t="shared" ref="K449:K452" ca="1" si="115">IF(I449&gt;0,J449*100/I449,0)</f>
        <v>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IFERROR(__xludf.DUMMYFUNCTION("IMPORTRANGE(""https://docs.google.com/spreadsheets/d/1XL5vhW3sbDhbH9Cz0tuDiY8C3ctxq1tqvaCgkFb8cCA/edit?usp=sharing"",""ศรีสะเกษ!I345"")"),35)</f>
        <v>35</v>
      </c>
      <c r="J450" s="189">
        <f ca="1">IFERROR(__xludf.DUMMYFUNCTION("IMPORTRANGE(""https://docs.google.com/spreadsheets/d/1XL5vhW3sbDhbH9Cz0tuDiY8C3ctxq1tqvaCgkFb8cCA/edit?usp=sharing"",""ศรีสะเกษ!J345"")"),0)</f>
        <v>0</v>
      </c>
      <c r="K450" s="163">
        <f t="shared" ca="1" si="115"/>
        <v>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IFERROR(__xludf.DUMMYFUNCTION("IMPORTRANGE(""https://docs.google.com/spreadsheets/d/1XL5vhW3sbDhbH9Cz0tuDiY8C3ctxq1tqvaCgkFb8cCA/edit?usp=sharing"",""ศรีสะเกษ!I346"")"),0)</f>
        <v>0</v>
      </c>
      <c r="J451" s="188">
        <f ca="1">IFERROR(__xludf.DUMMYFUNCTION("IMPORTRANGE(""https://docs.google.com/spreadsheets/d/1XL5vhW3sbDhbH9Cz0tuDiY8C3ctxq1tqvaCgkFb8cCA/edit?usp=sharing"",""ศรีสะเกษ!J346"")"),0)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IFERROR(__xludf.DUMMYFUNCTION("IMPORTRANGE(""https://docs.google.com/spreadsheets/d/1XL5vhW3sbDhbH9Cz0tuDiY8C3ctxq1tqvaCgkFb8cCA/edit?usp=sharing"",""ศรีสะเกษ!I347"")"),0)</f>
        <v>0</v>
      </c>
      <c r="J452" s="188">
        <f ca="1">IFERROR(__xludf.DUMMYFUNCTION("IMPORTRANGE(""https://docs.google.com/spreadsheets/d/1XL5vhW3sbDhbH9Cz0tuDiY8C3ctxq1tqvaCgkFb8cCA/edit?usp=sharing"",""ศรีสะเกษ!J347"")"),0)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IFERROR(__xludf.DUMMYFUNCTION("IMPORTRANGE(""https://docs.google.com/spreadsheets/d/1XL5vhW3sbDhbH9Cz0tuDiY8C3ctxq1tqvaCgkFb8cCA/edit?usp=sharing"",""ศรีสะเกษ!J348"")"),0)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IFERROR(__xludf.DUMMYFUNCTION("IMPORTRANGE(""https://docs.google.com/spreadsheets/d/1XL5vhW3sbDhbH9Cz0tuDiY8C3ctxq1tqvaCgkFb8cCA/edit?usp=sharing"",""ศรีสะเกษ!J349"")"),0)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IFERROR(__xludf.DUMMYFUNCTION("IMPORTRANGE(""https://docs.google.com/spreadsheets/d/1XL5vhW3sbDhbH9Cz0tuDiY8C3ctxq1tqvaCgkFb8cCA/edit?usp=sharing"",""ศรีสะเกษ!I350"")"),51444)</f>
        <v>51444</v>
      </c>
      <c r="J455" s="371">
        <f ca="1">IFERROR(__xludf.DUMMYFUNCTION("IMPORTRANGE(""https://docs.google.com/spreadsheets/d/1XL5vhW3sbDhbH9Cz0tuDiY8C3ctxq1tqvaCgkFb8cCA/edit?usp=sharing"",""ศรีสะเกษ!J350"")"),51444)</f>
        <v>51444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IFERROR(__xludf.DUMMYFUNCTION("IMPORTRANGE(""https://docs.google.com/spreadsheets/d/1XL5vhW3sbDhbH9Cz0tuDiY8C3ctxq1tqvaCgkFb8cCA/edit?usp=sharing"",""ศรีสะเกษ!L350"")"),853421)</f>
        <v>853421</v>
      </c>
      <c r="M455" s="373"/>
      <c r="N455" s="373">
        <f ca="1">IFERROR(__xludf.DUMMYFUNCTION("IMPORTRANGE(""https://docs.google.com/spreadsheets/d/1XL5vhW3sbDhbH9Cz0tuDiY8C3ctxq1tqvaCgkFb8cCA/edit?usp=sharing"",""ศรีสะเกษ!M350"")"),18451.64)</f>
        <v>18451.64</v>
      </c>
      <c r="O455" s="373">
        <f t="shared" ref="O455:O459" ca="1" si="116">+IF(L455&gt;0,N455*100/L455,0)</f>
        <v>2.162079442619762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IFERROR(__xludf.DUMMYFUNCTION("IMPORTRANGE(""https://docs.google.com/spreadsheets/d/1XL5vhW3sbDhbH9Cz0tuDiY8C3ctxq1tqvaCgkFb8cCA/edit?usp=sharing"",""ศรีสะเกษ!L351"")"),0)</f>
        <v>0</v>
      </c>
      <c r="M456" s="164"/>
      <c r="N456" s="169">
        <f ca="1">IFERROR(__xludf.DUMMYFUNCTION("IMPORTRANGE(""https://docs.google.com/spreadsheets/d/1XL5vhW3sbDhbH9Cz0tuDiY8C3ctxq1tqvaCgkFb8cCA/edit?usp=sharing"",""ศรีสะเกษ!M351"")"),0)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IFERROR(__xludf.DUMMYFUNCTION("IMPORTRANGE(""https://docs.google.com/spreadsheets/d/1XL5vhW3sbDhbH9Cz0tuDiY8C3ctxq1tqvaCgkFb8cCA/edit?usp=sharing"",""ศรีสะเกษ!L352"")"),853421)</f>
        <v>853421</v>
      </c>
      <c r="M457" s="165"/>
      <c r="N457" s="169">
        <f ca="1">IFERROR(__xludf.DUMMYFUNCTION("IMPORTRANGE(""https://docs.google.com/spreadsheets/d/1XL5vhW3sbDhbH9Cz0tuDiY8C3ctxq1tqvaCgkFb8cCA/edit?usp=sharing"",""ศรีสะเกษ!M352"")"),18451.64)</f>
        <v>18451.64</v>
      </c>
      <c r="O457" s="169">
        <f t="shared" ca="1" si="116"/>
        <v>2.162079442619762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IFERROR(__xludf.DUMMYFUNCTION("IMPORTRANGE(""https://docs.google.com/spreadsheets/d/1XL5vhW3sbDhbH9Cz0tuDiY8C3ctxq1tqvaCgkFb8cCA/edit?usp=sharing"",""ศรีสะเกษ!L353"")"),0)</f>
        <v>0</v>
      </c>
      <c r="M458" s="169"/>
      <c r="N458" s="169">
        <f ca="1">IFERROR(__xludf.DUMMYFUNCTION("IMPORTRANGE(""https://docs.google.com/spreadsheets/d/1XL5vhW3sbDhbH9Cz0tuDiY8C3ctxq1tqvaCgkFb8cCA/edit?usp=sharing"",""ศรีสะเกษ!M353"")"),0)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IFERROR(__xludf.DUMMYFUNCTION("IMPORTRANGE(""https://docs.google.com/spreadsheets/d/1XL5vhW3sbDhbH9Cz0tuDiY8C3ctxq1tqvaCgkFb8cCA/edit?usp=sharing"",""ศรีสะเกษ!L354"")"),853421)</f>
        <v>853421</v>
      </c>
      <c r="M459" s="169"/>
      <c r="N459" s="169">
        <f ca="1">IFERROR(__xludf.DUMMYFUNCTION("IMPORTRANGE(""https://docs.google.com/spreadsheets/d/1XL5vhW3sbDhbH9Cz0tuDiY8C3ctxq1tqvaCgkFb8cCA/edit?usp=sharing"",""ศรีสะเกษ!M354"")"),18451.64)</f>
        <v>18451.64</v>
      </c>
      <c r="O459" s="169">
        <f t="shared" ca="1" si="116"/>
        <v>2.162079442619762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IFERROR(__xludf.DUMMYFUNCTION("IMPORTRANGE(""https://docs.google.com/spreadsheets/d/1XL5vhW3sbDhbH9Cz0tuDiY8C3ctxq1tqvaCgkFb8cCA/edit?usp=sharing"",""ศรีสะเกษ!M355"")"),0)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IFERROR(__xludf.DUMMYFUNCTION("IMPORTRANGE(""https://docs.google.com/spreadsheets/d/1XL5vhW3sbDhbH9Cz0tuDiY8C3ctxq1tqvaCgkFb8cCA/edit?usp=sharing"",""ศรีสะเกษ!M356"")"),0)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IFERROR(__xludf.DUMMYFUNCTION("IMPORTRANGE(""https://docs.google.com/spreadsheets/d/1XL5vhW3sbDhbH9Cz0tuDiY8C3ctxq1tqvaCgkFb8cCA/edit?usp=sharing"",""ศรีสะเกษ!M357"")"),18451.64)</f>
        <v>18451.64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IFERROR(__xludf.DUMMYFUNCTION("IMPORTRANGE(""https://docs.google.com/spreadsheets/d/1XL5vhW3sbDhbH9Cz0tuDiY8C3ctxq1tqvaCgkFb8cCA/edit?usp=sharing"",""ศรีสะเกษ!M358"")"),0)</f>
        <v>0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IFERROR(__xludf.DUMMYFUNCTION("IMPORTRANGE(""https://docs.google.com/spreadsheets/d/1XL5vhW3sbDhbH9Cz0tuDiY8C3ctxq1tqvaCgkFb8cCA/edit?usp=sharing"",""ศรีสะเกษ!I359"")"),51444)</f>
        <v>51444</v>
      </c>
      <c r="J464" s="267">
        <f ca="1">IFERROR(__xludf.DUMMYFUNCTION("IMPORTRANGE(""https://docs.google.com/spreadsheets/d/1XL5vhW3sbDhbH9Cz0tuDiY8C3ctxq1tqvaCgkFb8cCA/edit?usp=sharing"",""ศรีสะเกษ!J359"")"),51444)</f>
        <v>51444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IFERROR(__xludf.DUMMYFUNCTION("IMPORTRANGE(""https://docs.google.com/spreadsheets/d/1XL5vhW3sbDhbH9Cz0tuDiY8C3ctxq1tqvaCgkFb8cCA/edit?usp=sharing"",""ศรีสะเกษ!I360"")"),51444)</f>
        <v>51444</v>
      </c>
      <c r="J465" s="420">
        <f ca="1">IFERROR(__xludf.DUMMYFUNCTION("IMPORTRANGE(""https://docs.google.com/spreadsheets/d/1XL5vhW3sbDhbH9Cz0tuDiY8C3ctxq1tqvaCgkFb8cCA/edit?usp=sharing"",""ศรีสะเกษ!J360"")"),51444)</f>
        <v>51444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IFERROR(__xludf.DUMMYFUNCTION("IMPORTRANGE(""https://docs.google.com/spreadsheets/d/1XL5vhW3sbDhbH9Cz0tuDiY8C3ctxq1tqvaCgkFb8cCA/edit?usp=sharing"",""ศรีสะเกษ!I361"")"),11134)</f>
        <v>11134</v>
      </c>
      <c r="J466" s="420">
        <f ca="1">IFERROR(__xludf.DUMMYFUNCTION("IMPORTRANGE(""https://docs.google.com/spreadsheets/d/1XL5vhW3sbDhbH9Cz0tuDiY8C3ctxq1tqvaCgkFb8cCA/edit?usp=sharing"",""ศรีสะเกษ!J361"")"),11134)</f>
        <v>11134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IFERROR(__xludf.DUMMYFUNCTION("IMPORTRANGE(""https://docs.google.com/spreadsheets/d/1XL5vhW3sbDhbH9Cz0tuDiY8C3ctxq1tqvaCgkFb8cCA/edit?usp=sharing"",""ศรีสะเกษ!I362"")"),0)</f>
        <v>0</v>
      </c>
      <c r="J467" s="189">
        <f ca="1">IFERROR(__xludf.DUMMYFUNCTION("IMPORTRANGE(""https://docs.google.com/spreadsheets/d/1XL5vhW3sbDhbH9Cz0tuDiY8C3ctxq1tqvaCgkFb8cCA/edit?usp=sharing"",""ศรีสะเกษ!J362"")"),37203)</f>
        <v>37203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IFERROR(__xludf.DUMMYFUNCTION("IMPORTRANGE(""https://docs.google.com/spreadsheets/d/1XL5vhW3sbDhbH9Cz0tuDiY8C3ctxq1tqvaCgkFb8cCA/edit?usp=sharing"",""ศรีสะเกษ!I363"")"),0)</f>
        <v>0</v>
      </c>
      <c r="J468" s="189">
        <f ca="1">IFERROR(__xludf.DUMMYFUNCTION("IMPORTRANGE(""https://docs.google.com/spreadsheets/d/1XL5vhW3sbDhbH9Cz0tuDiY8C3ctxq1tqvaCgkFb8cCA/edit?usp=sharing"",""ศรีสะเกษ!J363"")"),8531)</f>
        <v>8531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IFERROR(__xludf.DUMMYFUNCTION("IMPORTRANGE(""https://docs.google.com/spreadsheets/d/1XL5vhW3sbDhbH9Cz0tuDiY8C3ctxq1tqvaCgkFb8cCA/edit?usp=sharing"",""ศรีสะเกษ!I364"")"),0)</f>
        <v>0</v>
      </c>
      <c r="J469" s="189">
        <f ca="1">IFERROR(__xludf.DUMMYFUNCTION("IMPORTRANGE(""https://docs.google.com/spreadsheets/d/1XL5vhW3sbDhbH9Cz0tuDiY8C3ctxq1tqvaCgkFb8cCA/edit?usp=sharing"",""ศรีสะเกษ!J364"")"),13054)</f>
        <v>13054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IFERROR(__xludf.DUMMYFUNCTION("IMPORTRANGE(""https://docs.google.com/spreadsheets/d/1XL5vhW3sbDhbH9Cz0tuDiY8C3ctxq1tqvaCgkFb8cCA/edit?usp=sharing"",""ศรีสะเกษ!I365"")"),0)</f>
        <v>0</v>
      </c>
      <c r="J470" s="189">
        <f ca="1">IFERROR(__xludf.DUMMYFUNCTION("IMPORTRANGE(""https://docs.google.com/spreadsheets/d/1XL5vhW3sbDhbH9Cz0tuDiY8C3ctxq1tqvaCgkFb8cCA/edit?usp=sharing"",""ศรีสะเกษ!J365"")"),2345)</f>
        <v>2345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IFERROR(__xludf.DUMMYFUNCTION("IMPORTRANGE(""https://docs.google.com/spreadsheets/d/1XL5vhW3sbDhbH9Cz0tuDiY8C3ctxq1tqvaCgkFb8cCA/edit?usp=sharing"",""ศรีสะเกษ!I366"")"),0)</f>
        <v>0</v>
      </c>
      <c r="J471" s="189">
        <f ca="1">IFERROR(__xludf.DUMMYFUNCTION("IMPORTRANGE(""https://docs.google.com/spreadsheets/d/1XL5vhW3sbDhbH9Cz0tuDiY8C3ctxq1tqvaCgkFb8cCA/edit?usp=sharing"",""ศรีสะเกษ!J366"")"),1187)</f>
        <v>1187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IFERROR(__xludf.DUMMYFUNCTION("IMPORTRANGE(""https://docs.google.com/spreadsheets/d/1XL5vhW3sbDhbH9Cz0tuDiY8C3ctxq1tqvaCgkFb8cCA/edit?usp=sharing"",""ศรีสะเกษ!I367"")"),0)</f>
        <v>0</v>
      </c>
      <c r="J472" s="189">
        <f ca="1">IFERROR(__xludf.DUMMYFUNCTION("IMPORTRANGE(""https://docs.google.com/spreadsheets/d/1XL5vhW3sbDhbH9Cz0tuDiY8C3ctxq1tqvaCgkFb8cCA/edit?usp=sharing"",""ศรีสะเกษ!J367"")"),258)</f>
        <v>258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IFERROR(__xludf.DUMMYFUNCTION("IMPORTRANGE(""https://docs.google.com/spreadsheets/d/1XL5vhW3sbDhbH9Cz0tuDiY8C3ctxq1tqvaCgkFb8cCA/edit?usp=sharing"",""ศรีสะเกษ!I368"")"),51444)</f>
        <v>51444</v>
      </c>
      <c r="J473" s="420">
        <f ca="1">IFERROR(__xludf.DUMMYFUNCTION("IMPORTRANGE(""https://docs.google.com/spreadsheets/d/1XL5vhW3sbDhbH9Cz0tuDiY8C3ctxq1tqvaCgkFb8cCA/edit?usp=sharing"",""ศรีสะเกษ!J368"")"),51444)</f>
        <v>51444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IFERROR(__xludf.DUMMYFUNCTION("IMPORTRANGE(""https://docs.google.com/spreadsheets/d/1XL5vhW3sbDhbH9Cz0tuDiY8C3ctxq1tqvaCgkFb8cCA/edit?usp=sharing"",""ศรีสะเกษ!I369"")"),11134)</f>
        <v>11134</v>
      </c>
      <c r="J474" s="420">
        <f ca="1">IFERROR(__xludf.DUMMYFUNCTION("IMPORTRANGE(""https://docs.google.com/spreadsheets/d/1XL5vhW3sbDhbH9Cz0tuDiY8C3ctxq1tqvaCgkFb8cCA/edit?usp=sharing"",""ศรีสะเกษ!J369"")"),11134)</f>
        <v>11134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IFERROR(__xludf.DUMMYFUNCTION("IMPORTRANGE(""https://docs.google.com/spreadsheets/d/1XL5vhW3sbDhbH9Cz0tuDiY8C3ctxq1tqvaCgkFb8cCA/edit?usp=sharing"",""ศรีสะเกษ!I370"")"),0)</f>
        <v>0</v>
      </c>
      <c r="J475" s="189">
        <f ca="1">IFERROR(__xludf.DUMMYFUNCTION("IMPORTRANGE(""https://docs.google.com/spreadsheets/d/1XL5vhW3sbDhbH9Cz0tuDiY8C3ctxq1tqvaCgkFb8cCA/edit?usp=sharing"",""ศรีสะเกษ!J370"")"),39085)</f>
        <v>39085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IFERROR(__xludf.DUMMYFUNCTION("IMPORTRANGE(""https://docs.google.com/spreadsheets/d/1XL5vhW3sbDhbH9Cz0tuDiY8C3ctxq1tqvaCgkFb8cCA/edit?usp=sharing"",""ศรีสะเกษ!I371"")"),0)</f>
        <v>0</v>
      </c>
      <c r="J476" s="189">
        <f ca="1">IFERROR(__xludf.DUMMYFUNCTION("IMPORTRANGE(""https://docs.google.com/spreadsheets/d/1XL5vhW3sbDhbH9Cz0tuDiY8C3ctxq1tqvaCgkFb8cCA/edit?usp=sharing"",""ศรีสะเกษ!J371"")"),8882)</f>
        <v>8882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IFERROR(__xludf.DUMMYFUNCTION("IMPORTRANGE(""https://docs.google.com/spreadsheets/d/1XL5vhW3sbDhbH9Cz0tuDiY8C3ctxq1tqvaCgkFb8cCA/edit?usp=sharing"",""ศรีสะเกษ!I372"")"),0)</f>
        <v>0</v>
      </c>
      <c r="J477" s="189">
        <f ca="1">IFERROR(__xludf.DUMMYFUNCTION("IMPORTRANGE(""https://docs.google.com/spreadsheets/d/1XL5vhW3sbDhbH9Cz0tuDiY8C3ctxq1tqvaCgkFb8cCA/edit?usp=sharing"",""ศรีสะเกษ!J372"")"),10965)</f>
        <v>10965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IFERROR(__xludf.DUMMYFUNCTION("IMPORTRANGE(""https://docs.google.com/spreadsheets/d/1XL5vhW3sbDhbH9Cz0tuDiY8C3ctxq1tqvaCgkFb8cCA/edit?usp=sharing"",""ศรีสะเกษ!I373"")"),0)</f>
        <v>0</v>
      </c>
      <c r="J478" s="189">
        <f ca="1">IFERROR(__xludf.DUMMYFUNCTION("IMPORTRANGE(""https://docs.google.com/spreadsheets/d/1XL5vhW3sbDhbH9Cz0tuDiY8C3ctxq1tqvaCgkFb8cCA/edit?usp=sharing"",""ศรีสะเกษ!J373"")"),1965)</f>
        <v>1965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IFERROR(__xludf.DUMMYFUNCTION("IMPORTRANGE(""https://docs.google.com/spreadsheets/d/1XL5vhW3sbDhbH9Cz0tuDiY8C3ctxq1tqvaCgkFb8cCA/edit?usp=sharing"",""ศรีสะเกษ!I374"")"),0)</f>
        <v>0</v>
      </c>
      <c r="J479" s="189">
        <f ca="1">IFERROR(__xludf.DUMMYFUNCTION("IMPORTRANGE(""https://docs.google.com/spreadsheets/d/1XL5vhW3sbDhbH9Cz0tuDiY8C3ctxq1tqvaCgkFb8cCA/edit?usp=sharing"",""ศรีสะเกษ!J374"")"),1394)</f>
        <v>1394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IFERROR(__xludf.DUMMYFUNCTION("IMPORTRANGE(""https://docs.google.com/spreadsheets/d/1XL5vhW3sbDhbH9Cz0tuDiY8C3ctxq1tqvaCgkFb8cCA/edit?usp=sharing"",""ศรีสะเกษ!I375"")"),0)</f>
        <v>0</v>
      </c>
      <c r="J480" s="189">
        <f ca="1">IFERROR(__xludf.DUMMYFUNCTION("IMPORTRANGE(""https://docs.google.com/spreadsheets/d/1XL5vhW3sbDhbH9Cz0tuDiY8C3ctxq1tqvaCgkFb8cCA/edit?usp=sharing"",""ศรีสะเกษ!J375"")"),287)</f>
        <v>287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IFERROR(__xludf.DUMMYFUNCTION("IMPORTRANGE(""https://docs.google.com/spreadsheets/d/1XL5vhW3sbDhbH9Cz0tuDiY8C3ctxq1tqvaCgkFb8cCA/edit?usp=sharing"",""ศรีสะเกษ!I376"")"),51444)</f>
        <v>51444</v>
      </c>
      <c r="J481" s="420">
        <f ca="1">IFERROR(__xludf.DUMMYFUNCTION("IMPORTRANGE(""https://docs.google.com/spreadsheets/d/1XL5vhW3sbDhbH9Cz0tuDiY8C3ctxq1tqvaCgkFb8cCA/edit?usp=sharing"",""ศรีสะเกษ!J376"")"),51444)</f>
        <v>51444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IFERROR(__xludf.DUMMYFUNCTION("IMPORTRANGE(""https://docs.google.com/spreadsheets/d/1XL5vhW3sbDhbH9Cz0tuDiY8C3ctxq1tqvaCgkFb8cCA/edit?usp=sharing"",""ศรีสะเกษ!I377"")"),11134)</f>
        <v>11134</v>
      </c>
      <c r="J482" s="420">
        <f ca="1">IFERROR(__xludf.DUMMYFUNCTION("IMPORTRANGE(""https://docs.google.com/spreadsheets/d/1XL5vhW3sbDhbH9Cz0tuDiY8C3ctxq1tqvaCgkFb8cCA/edit?usp=sharing"",""ศรีสะเกษ!J377"")"),11134)</f>
        <v>11134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IFERROR(__xludf.DUMMYFUNCTION("IMPORTRANGE(""https://docs.google.com/spreadsheets/d/1XL5vhW3sbDhbH9Cz0tuDiY8C3ctxq1tqvaCgkFb8cCA/edit?usp=sharing"",""ศรีสะเกษ!I378"")"),0)</f>
        <v>0</v>
      </c>
      <c r="J483" s="189">
        <f ca="1">IFERROR(__xludf.DUMMYFUNCTION("IMPORTRANGE(""https://docs.google.com/spreadsheets/d/1XL5vhW3sbDhbH9Cz0tuDiY8C3ctxq1tqvaCgkFb8cCA/edit?usp=sharing"",""ศรีสะเกษ!J378"")"),39085)</f>
        <v>39085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IFERROR(__xludf.DUMMYFUNCTION("IMPORTRANGE(""https://docs.google.com/spreadsheets/d/1XL5vhW3sbDhbH9Cz0tuDiY8C3ctxq1tqvaCgkFb8cCA/edit?usp=sharing"",""ศรีสะเกษ!I379"")"),0)</f>
        <v>0</v>
      </c>
      <c r="J484" s="189">
        <f ca="1">IFERROR(__xludf.DUMMYFUNCTION("IMPORTRANGE(""https://docs.google.com/spreadsheets/d/1XL5vhW3sbDhbH9Cz0tuDiY8C3ctxq1tqvaCgkFb8cCA/edit?usp=sharing"",""ศรีสะเกษ!J379"")"),8882)</f>
        <v>8882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IFERROR(__xludf.DUMMYFUNCTION("IMPORTRANGE(""https://docs.google.com/spreadsheets/d/1XL5vhW3sbDhbH9Cz0tuDiY8C3ctxq1tqvaCgkFb8cCA/edit?usp=sharing"",""ศรีสะเกษ!I380"")"),0)</f>
        <v>0</v>
      </c>
      <c r="J485" s="189">
        <f ca="1">IFERROR(__xludf.DUMMYFUNCTION("IMPORTRANGE(""https://docs.google.com/spreadsheets/d/1XL5vhW3sbDhbH9Cz0tuDiY8C3ctxq1tqvaCgkFb8cCA/edit?usp=sharing"",""ศรีสะเกษ!J380"")"),10965)</f>
        <v>10965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IFERROR(__xludf.DUMMYFUNCTION("IMPORTRANGE(""https://docs.google.com/spreadsheets/d/1XL5vhW3sbDhbH9Cz0tuDiY8C3ctxq1tqvaCgkFb8cCA/edit?usp=sharing"",""ศรีสะเกษ!I381"")"),0)</f>
        <v>0</v>
      </c>
      <c r="J486" s="189">
        <f ca="1">IFERROR(__xludf.DUMMYFUNCTION("IMPORTRANGE(""https://docs.google.com/spreadsheets/d/1XL5vhW3sbDhbH9Cz0tuDiY8C3ctxq1tqvaCgkFb8cCA/edit?usp=sharing"",""ศรีสะเกษ!J381"")"),1965)</f>
        <v>1965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IFERROR(__xludf.DUMMYFUNCTION("IMPORTRANGE(""https://docs.google.com/spreadsheets/d/1XL5vhW3sbDhbH9Cz0tuDiY8C3ctxq1tqvaCgkFb8cCA/edit?usp=sharing"",""ศรีสะเกษ!I382"")"),0)</f>
        <v>0</v>
      </c>
      <c r="J487" s="420">
        <f ca="1">IFERROR(__xludf.DUMMYFUNCTION("IMPORTRANGE(""https://docs.google.com/spreadsheets/d/1XL5vhW3sbDhbH9Cz0tuDiY8C3ctxq1tqvaCgkFb8cCA/edit?usp=sharing"",""ศรีสะเกษ!J382"")"),1394)</f>
        <v>1394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IFERROR(__xludf.DUMMYFUNCTION("IMPORTRANGE(""https://docs.google.com/spreadsheets/d/1XL5vhW3sbDhbH9Cz0tuDiY8C3ctxq1tqvaCgkFb8cCA/edit?usp=sharing"",""ศรีสะเกษ!I383"")"),0)</f>
        <v>0</v>
      </c>
      <c r="J488" s="420">
        <f ca="1">IFERROR(__xludf.DUMMYFUNCTION("IMPORTRANGE(""https://docs.google.com/spreadsheets/d/1XL5vhW3sbDhbH9Cz0tuDiY8C3ctxq1tqvaCgkFb8cCA/edit?usp=sharing"",""ศรีสะเกษ!J383"")"),287)</f>
        <v>287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IFERROR(__xludf.DUMMYFUNCTION("IMPORTRANGE(""https://docs.google.com/spreadsheets/d/1XL5vhW3sbDhbH9Cz0tuDiY8C3ctxq1tqvaCgkFb8cCA/edit?usp=sharing"",""ศรีสะเกษ!I384"")"),0)</f>
        <v>0</v>
      </c>
      <c r="J489" s="189">
        <f ca="1">IFERROR(__xludf.DUMMYFUNCTION("IMPORTRANGE(""https://docs.google.com/spreadsheets/d/1XL5vhW3sbDhbH9Cz0tuDiY8C3ctxq1tqvaCgkFb8cCA/edit?usp=sharing"",""ศรีสะเกษ!J384"")"),1394)</f>
        <v>1394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IFERROR(__xludf.DUMMYFUNCTION("IMPORTRANGE(""https://docs.google.com/spreadsheets/d/1XL5vhW3sbDhbH9Cz0tuDiY8C3ctxq1tqvaCgkFb8cCA/edit?usp=sharing"",""ศรีสะเกษ!I385"")"),0)</f>
        <v>0</v>
      </c>
      <c r="J490" s="189">
        <f ca="1">IFERROR(__xludf.DUMMYFUNCTION("IMPORTRANGE(""https://docs.google.com/spreadsheets/d/1XL5vhW3sbDhbH9Cz0tuDiY8C3ctxq1tqvaCgkFb8cCA/edit?usp=sharing"",""ศรีสะเกษ!J385"")"),287)</f>
        <v>287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IFERROR(__xludf.DUMMYFUNCTION("IMPORTRANGE(""https://docs.google.com/spreadsheets/d/1XL5vhW3sbDhbH9Cz0tuDiY8C3ctxq1tqvaCgkFb8cCA/edit?usp=sharing"",""ศรีสะเกษ!I386"")"),0)</f>
        <v>0</v>
      </c>
      <c r="J491" s="189">
        <f ca="1">IFERROR(__xludf.DUMMYFUNCTION("IMPORTRANGE(""https://docs.google.com/spreadsheets/d/1XL5vhW3sbDhbH9Cz0tuDiY8C3ctxq1tqvaCgkFb8cCA/edit?usp=sharing"",""ศรีสะเกษ!J386"")"),0)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IFERROR(__xludf.DUMMYFUNCTION("IMPORTRANGE(""https://docs.google.com/spreadsheets/d/1XL5vhW3sbDhbH9Cz0tuDiY8C3ctxq1tqvaCgkFb8cCA/edit?usp=sharing"",""ศรีสะเกษ!I387"")"),0)</f>
        <v>0</v>
      </c>
      <c r="J492" s="189">
        <f ca="1">IFERROR(__xludf.DUMMYFUNCTION("IMPORTRANGE(""https://docs.google.com/spreadsheets/d/1XL5vhW3sbDhbH9Cz0tuDiY8C3ctxq1tqvaCgkFb8cCA/edit?usp=sharing"",""ศรีสะเกษ!J387"")"),0)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IFERROR(__xludf.DUMMYFUNCTION("IMPORTRANGE(""https://docs.google.com/spreadsheets/d/1XL5vhW3sbDhbH9Cz0tuDiY8C3ctxq1tqvaCgkFb8cCA/edit?usp=sharing"",""ศรีสะเกษ!I388"")"),0)</f>
        <v>0</v>
      </c>
      <c r="J493" s="189">
        <f ca="1">IFERROR(__xludf.DUMMYFUNCTION("IMPORTRANGE(""https://docs.google.com/spreadsheets/d/1XL5vhW3sbDhbH9Cz0tuDiY8C3ctxq1tqvaCgkFb8cCA/edit?usp=sharing"",""ศรีสะเกษ!J388"")"),0)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IFERROR(__xludf.DUMMYFUNCTION("IMPORTRANGE(""https://docs.google.com/spreadsheets/d/1XL5vhW3sbDhbH9Cz0tuDiY8C3ctxq1tqvaCgkFb8cCA/edit?usp=sharing"",""ศรีสะเกษ!I389"")"),0)</f>
        <v>0</v>
      </c>
      <c r="J494" s="436">
        <f ca="1">IFERROR(__xludf.DUMMYFUNCTION("IMPORTRANGE(""https://docs.google.com/spreadsheets/d/1XL5vhW3sbDhbH9Cz0tuDiY8C3ctxq1tqvaCgkFb8cCA/edit?usp=sharing"",""ศรีสะเกษ!J389"")"),0)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IFERROR(__xludf.DUMMYFUNCTION("IMPORTRANGE(""https://docs.google.com/spreadsheets/d/1XL5vhW3sbDhbH9Cz0tuDiY8C3ctxq1tqvaCgkFb8cCA/edit?usp=sharing"",""ศรีสะเกษ!I390"")"),0)</f>
        <v>0</v>
      </c>
      <c r="J495" s="436">
        <f ca="1">IFERROR(__xludf.DUMMYFUNCTION("IMPORTRANGE(""https://docs.google.com/spreadsheets/d/1XL5vhW3sbDhbH9Cz0tuDiY8C3ctxq1tqvaCgkFb8cCA/edit?usp=sharing"",""ศรีสะเกษ!J390"")"),0)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IFERROR(__xludf.DUMMYFUNCTION("IMPORTRANGE(""https://docs.google.com/spreadsheets/d/1XL5vhW3sbDhbH9Cz0tuDiY8C3ctxq1tqvaCgkFb8cCA/edit?usp=sharing"",""ศรีสะเกษ!I391"")"),0)</f>
        <v>0</v>
      </c>
      <c r="J496" s="436">
        <f ca="1">IFERROR(__xludf.DUMMYFUNCTION("IMPORTRANGE(""https://docs.google.com/spreadsheets/d/1XL5vhW3sbDhbH9Cz0tuDiY8C3ctxq1tqvaCgkFb8cCA/edit?usp=sharing"",""ศรีสะเกษ!J391"")"),0)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IFERROR(__xludf.DUMMYFUNCTION("IMPORTRANGE(""https://docs.google.com/spreadsheets/d/1XL5vhW3sbDhbH9Cz0tuDiY8C3ctxq1tqvaCgkFb8cCA/edit?usp=sharing"",""ศรีสะเกษ!I392"")"),3328)</f>
        <v>3328</v>
      </c>
      <c r="J497" s="443">
        <f ca="1">IFERROR(__xludf.DUMMYFUNCTION("IMPORTRANGE(""https://docs.google.com/spreadsheets/d/1XL5vhW3sbDhbH9Cz0tuDiY8C3ctxq1tqvaCgkFb8cCA/edit?usp=sharing"",""ศรีสะเกษ!J392"")"),890)</f>
        <v>890</v>
      </c>
      <c r="K497" s="444">
        <f t="shared" ca="1" si="117"/>
        <v>26.74278846153846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IFERROR(__xludf.DUMMYFUNCTION("IMPORTRANGE(""https://docs.google.com/spreadsheets/d/1XL5vhW3sbDhbH9Cz0tuDiY8C3ctxq1tqvaCgkFb8cCA/edit?usp=sharing"",""ศรีสะเกษ!I393"")"),3328)</f>
        <v>3328</v>
      </c>
      <c r="J498" s="420">
        <f ca="1">IFERROR(__xludf.DUMMYFUNCTION("IMPORTRANGE(""https://docs.google.com/spreadsheets/d/1XL5vhW3sbDhbH9Cz0tuDiY8C3ctxq1tqvaCgkFb8cCA/edit?usp=sharing"",""ศรีสะเกษ!J393"")"),890)</f>
        <v>890</v>
      </c>
      <c r="K498" s="202">
        <f t="shared" ca="1" si="117"/>
        <v>26.74278846153846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IFERROR(__xludf.DUMMYFUNCTION("IMPORTRANGE(""https://docs.google.com/spreadsheets/d/1XL5vhW3sbDhbH9Cz0tuDiY8C3ctxq1tqvaCgkFb8cCA/edit?usp=sharing"",""ศรีสะเกษ!I394"")"),726)</f>
        <v>726</v>
      </c>
      <c r="J499" s="420">
        <f ca="1">IFERROR(__xludf.DUMMYFUNCTION("IMPORTRANGE(""https://docs.google.com/spreadsheets/d/1XL5vhW3sbDhbH9Cz0tuDiY8C3ctxq1tqvaCgkFb8cCA/edit?usp=sharing"",""ศรีสะเกษ!J394"")"),278)</f>
        <v>278</v>
      </c>
      <c r="K499" s="202">
        <f t="shared" ca="1" si="117"/>
        <v>38.292011019283748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IFERROR(__xludf.DUMMYFUNCTION("IMPORTRANGE(""https://docs.google.com/spreadsheets/d/1XL5vhW3sbDhbH9Cz0tuDiY8C3ctxq1tqvaCgkFb8cCA/edit?usp=sharing"",""ศรีสะเกษ!I395"")"),0)</f>
        <v>0</v>
      </c>
      <c r="J500" s="162">
        <f ca="1">IFERROR(__xludf.DUMMYFUNCTION("IMPORTRANGE(""https://docs.google.com/spreadsheets/d/1XL5vhW3sbDhbH9Cz0tuDiY8C3ctxq1tqvaCgkFb8cCA/edit?usp=sharing"",""ศรีสะเกษ!J395"")"),80)</f>
        <v>80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IFERROR(__xludf.DUMMYFUNCTION("IMPORTRANGE(""https://docs.google.com/spreadsheets/d/1XL5vhW3sbDhbH9Cz0tuDiY8C3ctxq1tqvaCgkFb8cCA/edit?usp=sharing"",""ศรีสะเกษ!I396"")"),0)</f>
        <v>0</v>
      </c>
      <c r="J501" s="162">
        <f ca="1">IFERROR(__xludf.DUMMYFUNCTION("IMPORTRANGE(""https://docs.google.com/spreadsheets/d/1XL5vhW3sbDhbH9Cz0tuDiY8C3ctxq1tqvaCgkFb8cCA/edit?usp=sharing"",""ศรีสะเกษ!J396"")"),29)</f>
        <v>29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IFERROR(__xludf.DUMMYFUNCTION("IMPORTRANGE(""https://docs.google.com/spreadsheets/d/1XL5vhW3sbDhbH9Cz0tuDiY8C3ctxq1tqvaCgkFb8cCA/edit?usp=sharing"",""ศรีสะเกษ!I397"")"),0)</f>
        <v>0</v>
      </c>
      <c r="J502" s="189">
        <f ca="1">IFERROR(__xludf.DUMMYFUNCTION("IMPORTRANGE(""https://docs.google.com/spreadsheets/d/1XL5vhW3sbDhbH9Cz0tuDiY8C3ctxq1tqvaCgkFb8cCA/edit?usp=sharing"",""ศรีสะเกษ!J397"")"),46)</f>
        <v>46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IFERROR(__xludf.DUMMYFUNCTION("IMPORTRANGE(""https://docs.google.com/spreadsheets/d/1XL5vhW3sbDhbH9Cz0tuDiY8C3ctxq1tqvaCgkFb8cCA/edit?usp=sharing"",""ศรีสะเกษ!I398"")"),0)</f>
        <v>0</v>
      </c>
      <c r="J503" s="198">
        <f ca="1">IFERROR(__xludf.DUMMYFUNCTION("IMPORTRANGE(""https://docs.google.com/spreadsheets/d/1XL5vhW3sbDhbH9Cz0tuDiY8C3ctxq1tqvaCgkFb8cCA/edit?usp=sharing"",""ศรีสะเกษ!J398"")"),18)</f>
        <v>18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IFERROR(__xludf.DUMMYFUNCTION("IMPORTRANGE(""https://docs.google.com/spreadsheets/d/1XL5vhW3sbDhbH9Cz0tuDiY8C3ctxq1tqvaCgkFb8cCA/edit?usp=sharing"",""ศรีสะเกษ!I399"")"),0)</f>
        <v>0</v>
      </c>
      <c r="J504" s="189">
        <f ca="1">IFERROR(__xludf.DUMMYFUNCTION("IMPORTRANGE(""https://docs.google.com/spreadsheets/d/1XL5vhW3sbDhbH9Cz0tuDiY8C3ctxq1tqvaCgkFb8cCA/edit?usp=sharing"",""ศรีสะเกษ!J399"")"),34)</f>
        <v>34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IFERROR(__xludf.DUMMYFUNCTION("IMPORTRANGE(""https://docs.google.com/spreadsheets/d/1XL5vhW3sbDhbH9Cz0tuDiY8C3ctxq1tqvaCgkFb8cCA/edit?usp=sharing"",""ศรีสะเกษ!I400"")"),0)</f>
        <v>0</v>
      </c>
      <c r="J505" s="198">
        <f ca="1">IFERROR(__xludf.DUMMYFUNCTION("IMPORTRANGE(""https://docs.google.com/spreadsheets/d/1XL5vhW3sbDhbH9Cz0tuDiY8C3ctxq1tqvaCgkFb8cCA/edit?usp=sharing"",""ศรีสะเกษ!J400"")"),11)</f>
        <v>11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IFERROR(__xludf.DUMMYFUNCTION("IMPORTRANGE(""https://docs.google.com/spreadsheets/d/1XL5vhW3sbDhbH9Cz0tuDiY8C3ctxq1tqvaCgkFb8cCA/edit?usp=sharing"",""ศรีสะเกษ!I401"")"),0)</f>
        <v>0</v>
      </c>
      <c r="J506" s="189">
        <f ca="1">IFERROR(__xludf.DUMMYFUNCTION("IMPORTRANGE(""https://docs.google.com/spreadsheets/d/1XL5vhW3sbDhbH9Cz0tuDiY8C3ctxq1tqvaCgkFb8cCA/edit?usp=sharing"",""ศรีสะเกษ!J401"")"),0)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IFERROR(__xludf.DUMMYFUNCTION("IMPORTRANGE(""https://docs.google.com/spreadsheets/d/1XL5vhW3sbDhbH9Cz0tuDiY8C3ctxq1tqvaCgkFb8cCA/edit?usp=sharing"",""ศรีสะเกษ!I402"")"),0)</f>
        <v>0</v>
      </c>
      <c r="J507" s="198">
        <f ca="1">IFERROR(__xludf.DUMMYFUNCTION("IMPORTRANGE(""https://docs.google.com/spreadsheets/d/1XL5vhW3sbDhbH9Cz0tuDiY8C3ctxq1tqvaCgkFb8cCA/edit?usp=sharing"",""ศรีสะเกษ!J402"")"),0)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IFERROR(__xludf.DUMMYFUNCTION("IMPORTRANGE(""https://docs.google.com/spreadsheets/d/1XL5vhW3sbDhbH9Cz0tuDiY8C3ctxq1tqvaCgkFb8cCA/edit?usp=sharing"",""ศรีสะเกษ!I403"")"),0)</f>
        <v>0</v>
      </c>
      <c r="J508" s="162">
        <f ca="1">IFERROR(__xludf.DUMMYFUNCTION("IMPORTRANGE(""https://docs.google.com/spreadsheets/d/1XL5vhW3sbDhbH9Cz0tuDiY8C3ctxq1tqvaCgkFb8cCA/edit?usp=sharing"",""ศรีสะเกษ!J403"")"),5)</f>
        <v>5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IFERROR(__xludf.DUMMYFUNCTION("IMPORTRANGE(""https://docs.google.com/spreadsheets/d/1XL5vhW3sbDhbH9Cz0tuDiY8C3ctxq1tqvaCgkFb8cCA/edit?usp=sharing"",""ศรีสะเกษ!I404"")"),0)</f>
        <v>0</v>
      </c>
      <c r="J509" s="162">
        <f ca="1">IFERROR(__xludf.DUMMYFUNCTION("IMPORTRANGE(""https://docs.google.com/spreadsheets/d/1XL5vhW3sbDhbH9Cz0tuDiY8C3ctxq1tqvaCgkFb8cCA/edit?usp=sharing"",""ศรีสะเกษ!J404"")"),2)</f>
        <v>2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IFERROR(__xludf.DUMMYFUNCTION("IMPORTRANGE(""https://docs.google.com/spreadsheets/d/1XL5vhW3sbDhbH9Cz0tuDiY8C3ctxq1tqvaCgkFb8cCA/edit?usp=sharing"",""ศรีสะเกษ!I405"")"),0)</f>
        <v>0</v>
      </c>
      <c r="J510" s="198">
        <f ca="1">IFERROR(__xludf.DUMMYFUNCTION("IMPORTRANGE(""https://docs.google.com/spreadsheets/d/1XL5vhW3sbDhbH9Cz0tuDiY8C3ctxq1tqvaCgkFb8cCA/edit?usp=sharing"",""ศรีสะเกษ!J405"")"),0)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IFERROR(__xludf.DUMMYFUNCTION("IMPORTRANGE(""https://docs.google.com/spreadsheets/d/1XL5vhW3sbDhbH9Cz0tuDiY8C3ctxq1tqvaCgkFb8cCA/edit?usp=sharing"",""ศรีสะเกษ!I406"")"),0)</f>
        <v>0</v>
      </c>
      <c r="J511" s="198">
        <f ca="1">IFERROR(__xludf.DUMMYFUNCTION("IMPORTRANGE(""https://docs.google.com/spreadsheets/d/1XL5vhW3sbDhbH9Cz0tuDiY8C3ctxq1tqvaCgkFb8cCA/edit?usp=sharing"",""ศรีสะเกษ!J406"")"),0)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IFERROR(__xludf.DUMMYFUNCTION("IMPORTRANGE(""https://docs.google.com/spreadsheets/d/1XL5vhW3sbDhbH9Cz0tuDiY8C3ctxq1tqvaCgkFb8cCA/edit?usp=sharing"",""ศรีสะเกษ!I407"")"),0)</f>
        <v>0</v>
      </c>
      <c r="J512" s="198">
        <f ca="1">IFERROR(__xludf.DUMMYFUNCTION("IMPORTRANGE(""https://docs.google.com/spreadsheets/d/1XL5vhW3sbDhbH9Cz0tuDiY8C3ctxq1tqvaCgkFb8cCA/edit?usp=sharing"",""ศรีสะเกษ!J407"")"),5)</f>
        <v>5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IFERROR(__xludf.DUMMYFUNCTION("IMPORTRANGE(""https://docs.google.com/spreadsheets/d/1XL5vhW3sbDhbH9Cz0tuDiY8C3ctxq1tqvaCgkFb8cCA/edit?usp=sharing"",""ศรีสะเกษ!I408"")"),0)</f>
        <v>0</v>
      </c>
      <c r="J513" s="198">
        <f ca="1">IFERROR(__xludf.DUMMYFUNCTION("IMPORTRANGE(""https://docs.google.com/spreadsheets/d/1XL5vhW3sbDhbH9Cz0tuDiY8C3ctxq1tqvaCgkFb8cCA/edit?usp=sharing"",""ศรีสะเกษ!J408"")"),2)</f>
        <v>2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IFERROR(__xludf.DUMMYFUNCTION("IMPORTRANGE(""https://docs.google.com/spreadsheets/d/1XL5vhW3sbDhbH9Cz0tuDiY8C3ctxq1tqvaCgkFb8cCA/edit?usp=sharing"",""ศรีสะเกษ!I409"")"),0)</f>
        <v>0</v>
      </c>
      <c r="J514" s="198">
        <f ca="1">IFERROR(__xludf.DUMMYFUNCTION("IMPORTRANGE(""https://docs.google.com/spreadsheets/d/1XL5vhW3sbDhbH9Cz0tuDiY8C3ctxq1tqvaCgkFb8cCA/edit?usp=sharing"",""ศรีสะเกษ!J409"")"),805)</f>
        <v>805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IFERROR(__xludf.DUMMYFUNCTION("IMPORTRANGE(""https://docs.google.com/spreadsheets/d/1XL5vhW3sbDhbH9Cz0tuDiY8C3ctxq1tqvaCgkFb8cCA/edit?usp=sharing"",""ศรีสะเกษ!I410"")"),0)</f>
        <v>0</v>
      </c>
      <c r="J515" s="198">
        <f ca="1">IFERROR(__xludf.DUMMYFUNCTION("IMPORTRANGE(""https://docs.google.com/spreadsheets/d/1XL5vhW3sbDhbH9Cz0tuDiY8C3ctxq1tqvaCgkFb8cCA/edit?usp=sharing"",""ศรีสะเกษ!J410"")"),247)</f>
        <v>247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IFERROR(__xludf.DUMMYFUNCTION("IMPORTRANGE(""https://docs.google.com/spreadsheets/d/1XL5vhW3sbDhbH9Cz0tuDiY8C3ctxq1tqvaCgkFb8cCA/edit?usp=sharing"",""ศรีสะเกษ!I411"")"),0)</f>
        <v>0</v>
      </c>
      <c r="J516" s="267">
        <f ca="1">IFERROR(__xludf.DUMMYFUNCTION("IMPORTRANGE(""https://docs.google.com/spreadsheets/d/1XL5vhW3sbDhbH9Cz0tuDiY8C3ctxq1tqvaCgkFb8cCA/edit?usp=sharing"",""ศรีสะเกษ!J411"")"),0)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IFERROR(__xludf.DUMMYFUNCTION("IMPORTRANGE(""https://docs.google.com/spreadsheets/d/1XL5vhW3sbDhbH9Cz0tuDiY8C3ctxq1tqvaCgkFb8cCA/edit?usp=sharing"",""ศรีสะเกษ!I412"")"),0)</f>
        <v>0</v>
      </c>
      <c r="J517" s="284">
        <f ca="1">IFERROR(__xludf.DUMMYFUNCTION("IMPORTRANGE(""https://docs.google.com/spreadsheets/d/1XL5vhW3sbDhbH9Cz0tuDiY8C3ctxq1tqvaCgkFb8cCA/edit?usp=sharing"",""ศรีสะเกษ!J412"")"),0)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IFERROR(__xludf.DUMMYFUNCTION("IMPORTRANGE(""https://docs.google.com/spreadsheets/d/1XL5vhW3sbDhbH9Cz0tuDiY8C3ctxq1tqvaCgkFb8cCA/edit?usp=sharing"",""ศรีสะเกษ!I413"")"),0)</f>
        <v>0</v>
      </c>
      <c r="J518" s="284">
        <f ca="1">IFERROR(__xludf.DUMMYFUNCTION("IMPORTRANGE(""https://docs.google.com/spreadsheets/d/1XL5vhW3sbDhbH9Cz0tuDiY8C3ctxq1tqvaCgkFb8cCA/edit?usp=sharing"",""ศรีสะเกษ!J413"")"),0)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IFERROR(__xludf.DUMMYFUNCTION("IMPORTRANGE(""https://docs.google.com/spreadsheets/d/1XL5vhW3sbDhbH9Cz0tuDiY8C3ctxq1tqvaCgkFb8cCA/edit?usp=sharing"",""ศรีสะเกษ!I414"")"),0)</f>
        <v>0</v>
      </c>
      <c r="J519" s="188">
        <f ca="1">IFERROR(__xludf.DUMMYFUNCTION("IMPORTRANGE(""https://docs.google.com/spreadsheets/d/1XL5vhW3sbDhbH9Cz0tuDiY8C3ctxq1tqvaCgkFb8cCA/edit?usp=sharing"",""ศรีสะเกษ!J414"")"),0)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IFERROR(__xludf.DUMMYFUNCTION("IMPORTRANGE(""https://docs.google.com/spreadsheets/d/1XL5vhW3sbDhbH9Cz0tuDiY8C3ctxq1tqvaCgkFb8cCA/edit?usp=sharing"",""ศรีสะเกษ!I415"")"),0)</f>
        <v>0</v>
      </c>
      <c r="J520" s="188">
        <f ca="1">IFERROR(__xludf.DUMMYFUNCTION("IMPORTRANGE(""https://docs.google.com/spreadsheets/d/1XL5vhW3sbDhbH9Cz0tuDiY8C3ctxq1tqvaCgkFb8cCA/edit?usp=sharing"",""ศรีสะเกษ!J415"")"),0)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IFERROR(__xludf.DUMMYFUNCTION("IMPORTRANGE(""https://docs.google.com/spreadsheets/d/1XL5vhW3sbDhbH9Cz0tuDiY8C3ctxq1tqvaCgkFb8cCA/edit?usp=sharing"",""ศรีสะเกษ!I416"")"),0)</f>
        <v>0</v>
      </c>
      <c r="J521" s="188">
        <f ca="1">IFERROR(__xludf.DUMMYFUNCTION("IMPORTRANGE(""https://docs.google.com/spreadsheets/d/1XL5vhW3sbDhbH9Cz0tuDiY8C3ctxq1tqvaCgkFb8cCA/edit?usp=sharing"",""ศรีสะเกษ!J416"")"),0)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IFERROR(__xludf.DUMMYFUNCTION("IMPORTRANGE(""https://docs.google.com/spreadsheets/d/1XL5vhW3sbDhbH9Cz0tuDiY8C3ctxq1tqvaCgkFb8cCA/edit?usp=sharing"",""ศรีสะเกษ!I417"")"),0)</f>
        <v>0</v>
      </c>
      <c r="J522" s="188">
        <f ca="1">IFERROR(__xludf.DUMMYFUNCTION("IMPORTRANGE(""https://docs.google.com/spreadsheets/d/1XL5vhW3sbDhbH9Cz0tuDiY8C3ctxq1tqvaCgkFb8cCA/edit?usp=sharing"",""ศรีสะเกษ!J417"")"),0)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IFERROR(__xludf.DUMMYFUNCTION("IMPORTRANGE(""https://docs.google.com/spreadsheets/d/1XL5vhW3sbDhbH9Cz0tuDiY8C3ctxq1tqvaCgkFb8cCA/edit?usp=sharing"",""ศรีสะเกษ!I418"")"),0)</f>
        <v>0</v>
      </c>
      <c r="J523" s="188">
        <f ca="1">IFERROR(__xludf.DUMMYFUNCTION("IMPORTRANGE(""https://docs.google.com/spreadsheets/d/1XL5vhW3sbDhbH9Cz0tuDiY8C3ctxq1tqvaCgkFb8cCA/edit?usp=sharing"",""ศรีสะเกษ!J418"")"),0)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IFERROR(__xludf.DUMMYFUNCTION("IMPORTRANGE(""https://docs.google.com/spreadsheets/d/1XL5vhW3sbDhbH9Cz0tuDiY8C3ctxq1tqvaCgkFb8cCA/edit?usp=sharing"",""ศรีสะเกษ!I419"")"),0)</f>
        <v>0</v>
      </c>
      <c r="J524" s="188">
        <f ca="1">IFERROR(__xludf.DUMMYFUNCTION("IMPORTRANGE(""https://docs.google.com/spreadsheets/d/1XL5vhW3sbDhbH9Cz0tuDiY8C3ctxq1tqvaCgkFb8cCA/edit?usp=sharing"",""ศรีสะเกษ!J419"")"),0)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IFERROR(__xludf.DUMMYFUNCTION("IMPORTRANGE(""https://docs.google.com/spreadsheets/d/1XL5vhW3sbDhbH9Cz0tuDiY8C3ctxq1tqvaCgkFb8cCA/edit?usp=sharing"",""ศรีสะเกษ!I420"")"),0)</f>
        <v>0</v>
      </c>
      <c r="J525" s="284">
        <f ca="1">IFERROR(__xludf.DUMMYFUNCTION("IMPORTRANGE(""https://docs.google.com/spreadsheets/d/1XL5vhW3sbDhbH9Cz0tuDiY8C3ctxq1tqvaCgkFb8cCA/edit?usp=sharing"",""ศรีสะเกษ!J420"")"),0)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IFERROR(__xludf.DUMMYFUNCTION("IMPORTRANGE(""https://docs.google.com/spreadsheets/d/1XL5vhW3sbDhbH9Cz0tuDiY8C3ctxq1tqvaCgkFb8cCA/edit?usp=sharing"",""ศรีสะเกษ!I421"")"),0)</f>
        <v>0</v>
      </c>
      <c r="J526" s="284">
        <f ca="1">IFERROR(__xludf.DUMMYFUNCTION("IMPORTRANGE(""https://docs.google.com/spreadsheets/d/1XL5vhW3sbDhbH9Cz0tuDiY8C3ctxq1tqvaCgkFb8cCA/edit?usp=sharing"",""ศรีสะเกษ!J421"")"),0)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IFERROR(__xludf.DUMMYFUNCTION("IMPORTRANGE(""https://docs.google.com/spreadsheets/d/1XL5vhW3sbDhbH9Cz0tuDiY8C3ctxq1tqvaCgkFb8cCA/edit?usp=sharing"",""ศรีสะเกษ!I422"")"),0)</f>
        <v>0</v>
      </c>
      <c r="J527" s="198">
        <f ca="1">IFERROR(__xludf.DUMMYFUNCTION("IMPORTRANGE(""https://docs.google.com/spreadsheets/d/1XL5vhW3sbDhbH9Cz0tuDiY8C3ctxq1tqvaCgkFb8cCA/edit?usp=sharing"",""ศรีสะเกษ!J422"")"),0)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IFERROR(__xludf.DUMMYFUNCTION("IMPORTRANGE(""https://docs.google.com/spreadsheets/d/1XL5vhW3sbDhbH9Cz0tuDiY8C3ctxq1tqvaCgkFb8cCA/edit?usp=sharing"",""ศรีสะเกษ!I423"")"),0)</f>
        <v>0</v>
      </c>
      <c r="J528" s="198">
        <f ca="1">IFERROR(__xludf.DUMMYFUNCTION("IMPORTRANGE(""https://docs.google.com/spreadsheets/d/1XL5vhW3sbDhbH9Cz0tuDiY8C3ctxq1tqvaCgkFb8cCA/edit?usp=sharing"",""ศรีสะเกษ!J423"")"),0)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IFERROR(__xludf.DUMMYFUNCTION("IMPORTRANGE(""https://docs.google.com/spreadsheets/d/1XL5vhW3sbDhbH9Cz0tuDiY8C3ctxq1tqvaCgkFb8cCA/edit?usp=sharing"",""ศรีสะเกษ!I424"")"),0)</f>
        <v>0</v>
      </c>
      <c r="J529" s="198">
        <f ca="1">IFERROR(__xludf.DUMMYFUNCTION("IMPORTRANGE(""https://docs.google.com/spreadsheets/d/1XL5vhW3sbDhbH9Cz0tuDiY8C3ctxq1tqvaCgkFb8cCA/edit?usp=sharing"",""ศรีสะเกษ!J424"")"),0)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IFERROR(__xludf.DUMMYFUNCTION("IMPORTRANGE(""https://docs.google.com/spreadsheets/d/1XL5vhW3sbDhbH9Cz0tuDiY8C3ctxq1tqvaCgkFb8cCA/edit?usp=sharing"",""ศรีสะเกษ!I425"")"),0)</f>
        <v>0</v>
      </c>
      <c r="J530" s="198">
        <f ca="1">IFERROR(__xludf.DUMMYFUNCTION("IMPORTRANGE(""https://docs.google.com/spreadsheets/d/1XL5vhW3sbDhbH9Cz0tuDiY8C3ctxq1tqvaCgkFb8cCA/edit?usp=sharing"",""ศรีสะเกษ!J425"")"),0)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IFERROR(__xludf.DUMMYFUNCTION("IMPORTRANGE(""https://docs.google.com/spreadsheets/d/1XL5vhW3sbDhbH9Cz0tuDiY8C3ctxq1tqvaCgkFb8cCA/edit?usp=sharing"",""ศรีสะเกษ!I426"")"),0)</f>
        <v>0</v>
      </c>
      <c r="J531" s="198">
        <f ca="1">IFERROR(__xludf.DUMMYFUNCTION("IMPORTRANGE(""https://docs.google.com/spreadsheets/d/1XL5vhW3sbDhbH9Cz0tuDiY8C3ctxq1tqvaCgkFb8cCA/edit?usp=sharing"",""ศรีสะเกษ!J426"")"),0)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IFERROR(__xludf.DUMMYFUNCTION("IMPORTRANGE(""https://docs.google.com/spreadsheets/d/1XL5vhW3sbDhbH9Cz0tuDiY8C3ctxq1tqvaCgkFb8cCA/edit?usp=sharing"",""ศรีสะเกษ!I427"")"),0)</f>
        <v>0</v>
      </c>
      <c r="J532" s="466">
        <f ca="1">IFERROR(__xludf.DUMMYFUNCTION("IMPORTRANGE(""https://docs.google.com/spreadsheets/d/1XL5vhW3sbDhbH9Cz0tuDiY8C3ctxq1tqvaCgkFb8cCA/edit?usp=sharing"",""ศรีสะเกษ!J427"")"),0)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IFERROR(__xludf.DUMMYFUNCTION("IMPORTRANGE(""https://docs.google.com/spreadsheets/d/1XL5vhW3sbDhbH9Cz0tuDiY8C3ctxq1tqvaCgkFb8cCA/edit?usp=sharing"",""ศรีสะเกษ!I428"")"),20)</f>
        <v>20</v>
      </c>
      <c r="J533" s="410">
        <f ca="1">IFERROR(__xludf.DUMMYFUNCTION("IMPORTRANGE(""https://docs.google.com/spreadsheets/d/1XL5vhW3sbDhbH9Cz0tuDiY8C3ctxq1tqvaCgkFb8cCA/edit?usp=sharing"",""ศรีสะเกษ!J428"")"),20)</f>
        <v>20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IFERROR(__xludf.DUMMYFUNCTION("IMPORTRANGE(""https://docs.google.com/spreadsheets/d/1XL5vhW3sbDhbH9Cz0tuDiY8C3ctxq1tqvaCgkFb8cCA/edit?usp=sharing"",""ศรีสะเกษ!L428"")"),32640)</f>
        <v>32640</v>
      </c>
      <c r="M533" s="412"/>
      <c r="N533" s="412">
        <f ca="1">IFERROR(__xludf.DUMMYFUNCTION("IMPORTRANGE(""https://docs.google.com/spreadsheets/d/1XL5vhW3sbDhbH9Cz0tuDiY8C3ctxq1tqvaCgkFb8cCA/edit?usp=sharing"",""ศรีสะเกษ!M428"")"),22610)</f>
        <v>22610</v>
      </c>
      <c r="O533" s="412">
        <f t="shared" ref="O533:O537" ca="1" si="118">+IF(L533&gt;0,N533*100/L533,0)</f>
        <v>69.270833333333329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IFERROR(__xludf.DUMMYFUNCTION("IMPORTRANGE(""https://docs.google.com/spreadsheets/d/1XL5vhW3sbDhbH9Cz0tuDiY8C3ctxq1tqvaCgkFb8cCA/edit?usp=sharing"",""ศรีสะเกษ!L429"")"),0)</f>
        <v>0</v>
      </c>
      <c r="M534" s="164"/>
      <c r="N534" s="169">
        <f ca="1">IFERROR(__xludf.DUMMYFUNCTION("IMPORTRANGE(""https://docs.google.com/spreadsheets/d/1XL5vhW3sbDhbH9Cz0tuDiY8C3ctxq1tqvaCgkFb8cCA/edit?usp=sharing"",""ศรีสะเกษ!M429"")"),0)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IFERROR(__xludf.DUMMYFUNCTION("IMPORTRANGE(""https://docs.google.com/spreadsheets/d/1XL5vhW3sbDhbH9Cz0tuDiY8C3ctxq1tqvaCgkFb8cCA/edit?usp=sharing"",""ศรีสะเกษ!L430"")"),32640)</f>
        <v>32640</v>
      </c>
      <c r="M535" s="165"/>
      <c r="N535" s="169">
        <f ca="1">IFERROR(__xludf.DUMMYFUNCTION("IMPORTRANGE(""https://docs.google.com/spreadsheets/d/1XL5vhW3sbDhbH9Cz0tuDiY8C3ctxq1tqvaCgkFb8cCA/edit?usp=sharing"",""ศรีสะเกษ!M430"")"),22610)</f>
        <v>22610</v>
      </c>
      <c r="O535" s="169">
        <f t="shared" ca="1" si="118"/>
        <v>69.270833333333329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IFERROR(__xludf.DUMMYFUNCTION("IMPORTRANGE(""https://docs.google.com/spreadsheets/d/1XL5vhW3sbDhbH9Cz0tuDiY8C3ctxq1tqvaCgkFb8cCA/edit?usp=sharing"",""ศรีสะเกษ!L431"")"),0)</f>
        <v>0</v>
      </c>
      <c r="M536" s="169"/>
      <c r="N536" s="169">
        <f ca="1">IFERROR(__xludf.DUMMYFUNCTION("IMPORTRANGE(""https://docs.google.com/spreadsheets/d/1XL5vhW3sbDhbH9Cz0tuDiY8C3ctxq1tqvaCgkFb8cCA/edit?usp=sharing"",""ศรีสะเกษ!M431"")"),0)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IFERROR(__xludf.DUMMYFUNCTION("IMPORTRANGE(""https://docs.google.com/spreadsheets/d/1XL5vhW3sbDhbH9Cz0tuDiY8C3ctxq1tqvaCgkFb8cCA/edit?usp=sharing"",""ศรีสะเกษ!L432"")"),32640)</f>
        <v>32640</v>
      </c>
      <c r="M537" s="169"/>
      <c r="N537" s="169">
        <f ca="1">IFERROR(__xludf.DUMMYFUNCTION("IMPORTRANGE(""https://docs.google.com/spreadsheets/d/1XL5vhW3sbDhbH9Cz0tuDiY8C3ctxq1tqvaCgkFb8cCA/edit?usp=sharing"",""ศรีสะเกษ!M432"")"),22610)</f>
        <v>22610</v>
      </c>
      <c r="O537" s="169">
        <f t="shared" ca="1" si="118"/>
        <v>69.270833333333329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IFERROR(__xludf.DUMMYFUNCTION("IMPORTRANGE(""https://docs.google.com/spreadsheets/d/1XL5vhW3sbDhbH9Cz0tuDiY8C3ctxq1tqvaCgkFb8cCA/edit?usp=sharing"",""ศรีสะเกษ!M433"")"),18490)</f>
        <v>18490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IFERROR(__xludf.DUMMYFUNCTION("IMPORTRANGE(""https://docs.google.com/spreadsheets/d/1XL5vhW3sbDhbH9Cz0tuDiY8C3ctxq1tqvaCgkFb8cCA/edit?usp=sharing"",""ศรีสะเกษ!M434"")"),2400)</f>
        <v>2400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IFERROR(__xludf.DUMMYFUNCTION("IMPORTRANGE(""https://docs.google.com/spreadsheets/d/1XL5vhW3sbDhbH9Cz0tuDiY8C3ctxq1tqvaCgkFb8cCA/edit?usp=sharing"",""ศรีสะเกษ!M435"")"),0)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IFERROR(__xludf.DUMMYFUNCTION("IMPORTRANGE(""https://docs.google.com/spreadsheets/d/1XL5vhW3sbDhbH9Cz0tuDiY8C3ctxq1tqvaCgkFb8cCA/edit?usp=sharing"",""ศรีสะเกษ!M436"")"),1720)</f>
        <v>1720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IFERROR(__xludf.DUMMYFUNCTION("IMPORTRANGE(""https://docs.google.com/spreadsheets/d/1XL5vhW3sbDhbH9Cz0tuDiY8C3ctxq1tqvaCgkFb8cCA/edit?usp=sharing"",""ศรีสะเกษ!J438"")"),0)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IFERROR(__xludf.DUMMYFUNCTION("IMPORTRANGE(""https://docs.google.com/spreadsheets/d/1XL5vhW3sbDhbH9Cz0tuDiY8C3ctxq1tqvaCgkFb8cCA/edit?usp=sharing"",""ศรีสะเกษ!J439"")"),1)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IFERROR(__xludf.DUMMYFUNCTION("IMPORTRANGE(""https://docs.google.com/spreadsheets/d/1XL5vhW3sbDhbH9Cz0tuDiY8C3ctxq1tqvaCgkFb8cCA/edit?usp=sharing"",""ศรีสะเกษ!J440"")"),0)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IFERROR(__xludf.DUMMYFUNCTION("IMPORTRANGE(""https://docs.google.com/spreadsheets/d/1XL5vhW3sbDhbH9Cz0tuDiY8C3ctxq1tqvaCgkFb8cCA/edit?usp=sharing"",""ศรีสะเกษ!J441"")"),0)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IFERROR(__xludf.DUMMYFUNCTION("IMPORTRANGE(""https://docs.google.com/spreadsheets/d/1XL5vhW3sbDhbH9Cz0tuDiY8C3ctxq1tqvaCgkFb8cCA/edit?usp=sharing"",""ศรีสะเกษ!I442"")"),20)</f>
        <v>20</v>
      </c>
      <c r="J547" s="189">
        <f ca="1">IFERROR(__xludf.DUMMYFUNCTION("IMPORTRANGE(""https://docs.google.com/spreadsheets/d/1XL5vhW3sbDhbH9Cz0tuDiY8C3ctxq1tqvaCgkFb8cCA/edit?usp=sharing"",""ศรีสะเกษ!J442"")"),20)</f>
        <v>20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IFERROR(__xludf.DUMMYFUNCTION("IMPORTRANGE(""https://docs.google.com/spreadsheets/d/1XL5vhW3sbDhbH9Cz0tuDiY8C3ctxq1tqvaCgkFb8cCA/edit?usp=sharing"",""ศรีสะเกษ!J166"")"),0)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IFERROR(__xludf.DUMMYFUNCTION("IMPORTRANGE(""https://docs.google.com/spreadsheets/d/1XL5vhW3sbDhbH9Cz0tuDiY8C3ctxq1tqvaCgkFb8cCA/edit?usp=sharing"",""ศรีสะเกษ!J444"")"),0)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IFERROR(__xludf.DUMMYFUNCTION("IMPORTRANGE(""https://docs.google.com/spreadsheets/d/1XL5vhW3sbDhbH9Cz0tuDiY8C3ctxq1tqvaCgkFb8cCA/edit?usp=sharing"",""ศรีสะเกษ!J445"")"),0)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IFERROR(__xludf.DUMMYFUNCTION("IMPORTRANGE(""https://docs.google.com/spreadsheets/d/1XL5vhW3sbDhbH9Cz0tuDiY8C3ctxq1tqvaCgkFb8cCA/edit?usp=sharing"",""ศรีสะเกษ!I446"")"),0)</f>
        <v>0</v>
      </c>
      <c r="J551" s="410">
        <f ca="1">IFERROR(__xludf.DUMMYFUNCTION("IMPORTRANGE(""https://docs.google.com/spreadsheets/d/1XL5vhW3sbDhbH9Cz0tuDiY8C3ctxq1tqvaCgkFb8cCA/edit?usp=sharing"",""ศรีสะเกษ!J446"")"),0)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IFERROR(__xludf.DUMMYFUNCTION("IMPORTRANGE(""https://docs.google.com/spreadsheets/d/1XL5vhW3sbDhbH9Cz0tuDiY8C3ctxq1tqvaCgkFb8cCA/edit?usp=sharing"",""ศรีสะเกษ!L446"")"),0)</f>
        <v>0</v>
      </c>
      <c r="M551" s="412"/>
      <c r="N551" s="412">
        <f ca="1">IFERROR(__xludf.DUMMYFUNCTION("IMPORTRANGE(""https://docs.google.com/spreadsheets/d/1XL5vhW3sbDhbH9Cz0tuDiY8C3ctxq1tqvaCgkFb8cCA/edit?usp=sharing"",""ศรีสะเกษ!M446"")"),0)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IFERROR(__xludf.DUMMYFUNCTION("IMPORTRANGE(""https://docs.google.com/spreadsheets/d/1XL5vhW3sbDhbH9Cz0tuDiY8C3ctxq1tqvaCgkFb8cCA/edit?usp=sharing"",""ศรีสะเกษ!L447"")"),0)</f>
        <v>0</v>
      </c>
      <c r="M552" s="164"/>
      <c r="N552" s="169">
        <f ca="1">IFERROR(__xludf.DUMMYFUNCTION("IMPORTRANGE(""https://docs.google.com/spreadsheets/d/1XL5vhW3sbDhbH9Cz0tuDiY8C3ctxq1tqvaCgkFb8cCA/edit?usp=sharing"",""ศรีสะเกษ!M447"")"),0)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IFERROR(__xludf.DUMMYFUNCTION("IMPORTRANGE(""https://docs.google.com/spreadsheets/d/1XL5vhW3sbDhbH9Cz0tuDiY8C3ctxq1tqvaCgkFb8cCA/edit?usp=sharing"",""ศรีสะเกษ!L448"")"),0)</f>
        <v>0</v>
      </c>
      <c r="M553" s="165"/>
      <c r="N553" s="169">
        <f ca="1">IFERROR(__xludf.DUMMYFUNCTION("IMPORTRANGE(""https://docs.google.com/spreadsheets/d/1XL5vhW3sbDhbH9Cz0tuDiY8C3ctxq1tqvaCgkFb8cCA/edit?usp=sharing"",""ศรีสะเกษ!M448"")"),0)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IFERROR(__xludf.DUMMYFUNCTION("IMPORTRANGE(""https://docs.google.com/spreadsheets/d/1XL5vhW3sbDhbH9Cz0tuDiY8C3ctxq1tqvaCgkFb8cCA/edit?usp=sharing"",""ศรีสะเกษ!L449"")"),0)</f>
        <v>0</v>
      </c>
      <c r="M554" s="169"/>
      <c r="N554" s="169">
        <f ca="1">IFERROR(__xludf.DUMMYFUNCTION("IMPORTRANGE(""https://docs.google.com/spreadsheets/d/1XL5vhW3sbDhbH9Cz0tuDiY8C3ctxq1tqvaCgkFb8cCA/edit?usp=sharing"",""ศรีสะเกษ!M449"")"),0)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IFERROR(__xludf.DUMMYFUNCTION("IMPORTRANGE(""https://docs.google.com/spreadsheets/d/1XL5vhW3sbDhbH9Cz0tuDiY8C3ctxq1tqvaCgkFb8cCA/edit?usp=sharing"",""ศรีสะเกษ!L450"")"),0)</f>
        <v>0</v>
      </c>
      <c r="M555" s="169"/>
      <c r="N555" s="169">
        <f ca="1">IFERROR(__xludf.DUMMYFUNCTION("IMPORTRANGE(""https://docs.google.com/spreadsheets/d/1XL5vhW3sbDhbH9Cz0tuDiY8C3ctxq1tqvaCgkFb8cCA/edit?usp=sharing"",""ศรีสะเกษ!M450"")"),0)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IFERROR(__xludf.DUMMYFUNCTION("IMPORTRANGE(""https://docs.google.com/spreadsheets/d/1XL5vhW3sbDhbH9Cz0tuDiY8C3ctxq1tqvaCgkFb8cCA/edit?usp=sharing"",""ศรีสะเกษ!M451"")"),0)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IFERROR(__xludf.DUMMYFUNCTION("IMPORTRANGE(""https://docs.google.com/spreadsheets/d/1XL5vhW3sbDhbH9Cz0tuDiY8C3ctxq1tqvaCgkFb8cCA/edit?usp=sharing"",""ศรีสะเกษ!M452"")"),0)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IFERROR(__xludf.DUMMYFUNCTION("IMPORTRANGE(""https://docs.google.com/spreadsheets/d/1XL5vhW3sbDhbH9Cz0tuDiY8C3ctxq1tqvaCgkFb8cCA/edit?usp=sharing"",""ศรีสะเกษ!M453"")"),0)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IFERROR(__xludf.DUMMYFUNCTION("IMPORTRANGE(""https://docs.google.com/spreadsheets/d/1XL5vhW3sbDhbH9Cz0tuDiY8C3ctxq1tqvaCgkFb8cCA/edit?usp=sharing"",""ศรีสะเกษ!M454"")"),0)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IFERROR(__xludf.DUMMYFUNCTION("IMPORTRANGE(""https://docs.google.com/spreadsheets/d/1XL5vhW3sbDhbH9Cz0tuDiY8C3ctxq1tqvaCgkFb8cCA/edit?usp=sharing"",""ศรีสะเกษ!I455"")"),0)</f>
        <v>0</v>
      </c>
      <c r="J560" s="162">
        <f ca="1">IFERROR(__xludf.DUMMYFUNCTION("IMPORTRANGE(""https://docs.google.com/spreadsheets/d/1XL5vhW3sbDhbH9Cz0tuDiY8C3ctxq1tqvaCgkFb8cCA/edit?usp=sharing"",""ศรีสะเกษ!J455"")"),0)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IFERROR(__xludf.DUMMYFUNCTION("IMPORTRANGE(""https://docs.google.com/spreadsheets/d/1XL5vhW3sbDhbH9Cz0tuDiY8C3ctxq1tqvaCgkFb8cCA/edit?usp=sharing"",""ศรีสะเกษ!I456"")"),0)</f>
        <v>0</v>
      </c>
      <c r="J561" s="204">
        <f ca="1">IFERROR(__xludf.DUMMYFUNCTION("IMPORTRANGE(""https://docs.google.com/spreadsheets/d/1XL5vhW3sbDhbH9Cz0tuDiY8C3ctxq1tqvaCgkFb8cCA/edit?usp=sharing"",""ศรีสะเกษ!J456"")"),0)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IFERROR(__xludf.DUMMYFUNCTION("IMPORTRANGE(""https://docs.google.com/spreadsheets/d/1XL5vhW3sbDhbH9Cz0tuDiY8C3ctxq1tqvaCgkFb8cCA/edit?usp=sharing"",""ศรีสะเกษ!I459"")"),6600)</f>
        <v>6600</v>
      </c>
      <c r="J564" s="371">
        <f ca="1">IFERROR(__xludf.DUMMYFUNCTION("IMPORTRANGE(""https://docs.google.com/spreadsheets/d/1XL5vhW3sbDhbH9Cz0tuDiY8C3ctxq1tqvaCgkFb8cCA/edit?usp=sharing"",""ศรีสะเกษ!J459"")"),2869)</f>
        <v>2869</v>
      </c>
      <c r="K564" s="372">
        <f ca="1">IF(I564&gt;0,J564*100/I564,0)</f>
        <v>43.469696969696969</v>
      </c>
      <c r="L564" s="373">
        <f ca="1">IFERROR(__xludf.DUMMYFUNCTION("IMPORTRANGE(""https://docs.google.com/spreadsheets/d/1XL5vhW3sbDhbH9Cz0tuDiY8C3ctxq1tqvaCgkFb8cCA/edit?usp=sharing"",""ศรีสะเกษ!L459"")"),194800)</f>
        <v>194800</v>
      </c>
      <c r="M564" s="373"/>
      <c r="N564" s="373">
        <f ca="1">IFERROR(__xludf.DUMMYFUNCTION("IMPORTRANGE(""https://docs.google.com/spreadsheets/d/1XL5vhW3sbDhbH9Cz0tuDiY8C3ctxq1tqvaCgkFb8cCA/edit?usp=sharing"",""ศรีสะเกษ!M459"")"),49333.41)</f>
        <v>49333.41</v>
      </c>
      <c r="O564" s="373">
        <f t="shared" ref="O564:O568" ca="1" si="122">+IF(L564&gt;0,N564*100/L564,0)</f>
        <v>25.325159137577003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IFERROR(__xludf.DUMMYFUNCTION("IMPORTRANGE(""https://docs.google.com/spreadsheets/d/1XL5vhW3sbDhbH9Cz0tuDiY8C3ctxq1tqvaCgkFb8cCA/edit?usp=sharing"",""ศรีสะเกษ!L460"")"),0)</f>
        <v>0</v>
      </c>
      <c r="M565" s="164"/>
      <c r="N565" s="169">
        <f ca="1">IFERROR(__xludf.DUMMYFUNCTION("IMPORTRANGE(""https://docs.google.com/spreadsheets/d/1XL5vhW3sbDhbH9Cz0tuDiY8C3ctxq1tqvaCgkFb8cCA/edit?usp=sharing"",""ศรีสะเกษ!M460"")"),0)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IFERROR(__xludf.DUMMYFUNCTION("IMPORTRANGE(""https://docs.google.com/spreadsheets/d/1XL5vhW3sbDhbH9Cz0tuDiY8C3ctxq1tqvaCgkFb8cCA/edit?usp=sharing"",""ศรีสะเกษ!L461"")"),194800)</f>
        <v>194800</v>
      </c>
      <c r="M566" s="165"/>
      <c r="N566" s="169">
        <f ca="1">IFERROR(__xludf.DUMMYFUNCTION("IMPORTRANGE(""https://docs.google.com/spreadsheets/d/1XL5vhW3sbDhbH9Cz0tuDiY8C3ctxq1tqvaCgkFb8cCA/edit?usp=sharing"",""ศรีสะเกษ!M461"")"),49333.41)</f>
        <v>49333.41</v>
      </c>
      <c r="O566" s="169">
        <f t="shared" ca="1" si="122"/>
        <v>25.325159137577003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IFERROR(__xludf.DUMMYFUNCTION("IMPORTRANGE(""https://docs.google.com/spreadsheets/d/1XL5vhW3sbDhbH9Cz0tuDiY8C3ctxq1tqvaCgkFb8cCA/edit?usp=sharing"",""ศรีสะเกษ!L462"")"),0)</f>
        <v>0</v>
      </c>
      <c r="M567" s="169"/>
      <c r="N567" s="169">
        <f ca="1">IFERROR(__xludf.DUMMYFUNCTION("IMPORTRANGE(""https://docs.google.com/spreadsheets/d/1XL5vhW3sbDhbH9Cz0tuDiY8C3ctxq1tqvaCgkFb8cCA/edit?usp=sharing"",""ศรีสะเกษ!M462"")"),0)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IFERROR(__xludf.DUMMYFUNCTION("IMPORTRANGE(""https://docs.google.com/spreadsheets/d/1XL5vhW3sbDhbH9Cz0tuDiY8C3ctxq1tqvaCgkFb8cCA/edit?usp=sharing"",""ศรีสะเกษ!L463"")"),194800)</f>
        <v>194800</v>
      </c>
      <c r="M568" s="169"/>
      <c r="N568" s="169">
        <f ca="1">IFERROR(__xludf.DUMMYFUNCTION("IMPORTRANGE(""https://docs.google.com/spreadsheets/d/1XL5vhW3sbDhbH9Cz0tuDiY8C3ctxq1tqvaCgkFb8cCA/edit?usp=sharing"",""ศรีสะเกษ!M463"")"),49333.41)</f>
        <v>49333.41</v>
      </c>
      <c r="O568" s="169">
        <f t="shared" ca="1" si="122"/>
        <v>25.325159137577003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IFERROR(__xludf.DUMMYFUNCTION("IMPORTRANGE(""https://docs.google.com/spreadsheets/d/1XL5vhW3sbDhbH9Cz0tuDiY8C3ctxq1tqvaCgkFb8cCA/edit?usp=sharing"",""ศรีสะเกษ!M464"")"),0)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IFERROR(__xludf.DUMMYFUNCTION("IMPORTRANGE(""https://docs.google.com/spreadsheets/d/1XL5vhW3sbDhbH9Cz0tuDiY8C3ctxq1tqvaCgkFb8cCA/edit?usp=sharing"",""ศรีสะเกษ!M465"")"),0)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IFERROR(__xludf.DUMMYFUNCTION("IMPORTRANGE(""https://docs.google.com/spreadsheets/d/1XL5vhW3sbDhbH9Cz0tuDiY8C3ctxq1tqvaCgkFb8cCA/edit?usp=sharing"",""ศรีสะเกษ!M466"")"),41433.41)</f>
        <v>41433.410000000003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IFERROR(__xludf.DUMMYFUNCTION("IMPORTRANGE(""https://docs.google.com/spreadsheets/d/1XL5vhW3sbDhbH9Cz0tuDiY8C3ctxq1tqvaCgkFb8cCA/edit?usp=sharing"",""ศรีสะเกษ!M467"")"),7900)</f>
        <v>7900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IFERROR(__xludf.DUMMYFUNCTION("IMPORTRANGE(""https://docs.google.com/spreadsheets/d/1XL5vhW3sbDhbH9Cz0tuDiY8C3ctxq1tqvaCgkFb8cCA/edit?usp=sharing"",""ศรีสะเกษ!I468"")"),6600)</f>
        <v>6600</v>
      </c>
      <c r="J573" s="420">
        <f ca="1">IFERROR(__xludf.DUMMYFUNCTION("IMPORTRANGE(""https://docs.google.com/spreadsheets/d/1XL5vhW3sbDhbH9Cz0tuDiY8C3ctxq1tqvaCgkFb8cCA/edit?usp=sharing"",""ศรีสะเกษ!J468"")"),2869)</f>
        <v>2869</v>
      </c>
      <c r="K573" s="202">
        <f ca="1">IF(I573&gt;0,J573*100/I573,0)</f>
        <v>43.469696969696969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IFERROR(__xludf.DUMMYFUNCTION("IMPORTRANGE(""https://docs.google.com/spreadsheets/d/1XL5vhW3sbDhbH9Cz0tuDiY8C3ctxq1tqvaCgkFb8cCA/edit?usp=sharing"",""ศรีสะเกษ!I470"")"),0)</f>
        <v>0</v>
      </c>
      <c r="J575" s="198">
        <f ca="1">IFERROR(__xludf.DUMMYFUNCTION("IMPORTRANGE(""https://docs.google.com/spreadsheets/d/1XL5vhW3sbDhbH9Cz0tuDiY8C3ctxq1tqvaCgkFb8cCA/edit?usp=sharing"",""ศรีสะเกษ!J470"")"),2)</f>
        <v>2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IFERROR(__xludf.DUMMYFUNCTION("IMPORTRANGE(""https://docs.google.com/spreadsheets/d/1XL5vhW3sbDhbH9Cz0tuDiY8C3ctxq1tqvaCgkFb8cCA/edit?usp=sharing"",""ศรีสะเกษ!I471"")"),0)</f>
        <v>0</v>
      </c>
      <c r="J576" s="198">
        <f ca="1">IFERROR(__xludf.DUMMYFUNCTION("IMPORTRANGE(""https://docs.google.com/spreadsheets/d/1XL5vhW3sbDhbH9Cz0tuDiY8C3ctxq1tqvaCgkFb8cCA/edit?usp=sharing"",""ศรีสะเกษ!J471"")"),345)</f>
        <v>345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IFERROR(__xludf.DUMMYFUNCTION("IMPORTRANGE(""https://docs.google.com/spreadsheets/d/1XL5vhW3sbDhbH9Cz0tuDiY8C3ctxq1tqvaCgkFb8cCA/edit?usp=sharing"",""ศรีสะเกษ!I472"")"),0)</f>
        <v>0</v>
      </c>
      <c r="J577" s="189">
        <f ca="1">IFERROR(__xludf.DUMMYFUNCTION("IMPORTRANGE(""https://docs.google.com/spreadsheets/d/1XL5vhW3sbDhbH9Cz0tuDiY8C3ctxq1tqvaCgkFb8cCA/edit?usp=sharing"",""ศรีสะเกษ!J472"")"),2524)</f>
        <v>2524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IFERROR(__xludf.DUMMYFUNCTION("IMPORTRANGE(""https://docs.google.com/spreadsheets/d/1XL5vhW3sbDhbH9Cz0tuDiY8C3ctxq1tqvaCgkFb8cCA/edit?usp=sharing"",""ศรีสะเกษ!I473"")"),0)</f>
        <v>0</v>
      </c>
      <c r="J578" s="198">
        <f ca="1">IFERROR(__xludf.DUMMYFUNCTION("IMPORTRANGE(""https://docs.google.com/spreadsheets/d/1XL5vhW3sbDhbH9Cz0tuDiY8C3ctxq1tqvaCgkFb8cCA/edit?usp=sharing"",""ศรีสะเกษ!J473"")"),0)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IFERROR(__xludf.DUMMYFUNCTION("IMPORTRANGE(""https://docs.google.com/spreadsheets/d/1XL5vhW3sbDhbH9Cz0tuDiY8C3ctxq1tqvaCgkFb8cCA/edit?usp=sharing"",""ศรีสะเกษ!I474"")"),0)</f>
        <v>0</v>
      </c>
      <c r="J579" s="198">
        <f ca="1">IFERROR(__xludf.DUMMYFUNCTION("IMPORTRANGE(""https://docs.google.com/spreadsheets/d/1XL5vhW3sbDhbH9Cz0tuDiY8C3ctxq1tqvaCgkFb8cCA/edit?usp=sharing"",""ศรีสะเกษ!J474"")"),0)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IFERROR(__xludf.DUMMYFUNCTION("IMPORTRANGE(""https://docs.google.com/spreadsheets/d/1XL5vhW3sbDhbH9Cz0tuDiY8C3ctxq1tqvaCgkFb8cCA/edit?usp=sharing"",""ศรีสะเกษ!I475"")"),150)</f>
        <v>150</v>
      </c>
      <c r="J580" s="371">
        <f ca="1">IFERROR(__xludf.DUMMYFUNCTION("IMPORTRANGE(""https://docs.google.com/spreadsheets/d/1XL5vhW3sbDhbH9Cz0tuDiY8C3ctxq1tqvaCgkFb8cCA/edit?usp=sharing"",""ศรีสะเกษ!J475"")"),68)</f>
        <v>68</v>
      </c>
      <c r="K580" s="372">
        <f ca="1">IF(I580&gt;0,J580*100/I580,0)</f>
        <v>45.333333333333336</v>
      </c>
      <c r="L580" s="373">
        <f ca="1">IFERROR(__xludf.DUMMYFUNCTION("IMPORTRANGE(""https://docs.google.com/spreadsheets/d/1XL5vhW3sbDhbH9Cz0tuDiY8C3ctxq1tqvaCgkFb8cCA/edit?usp=sharing"",""ศรีสะเกษ!L475"")"),355750)</f>
        <v>355750</v>
      </c>
      <c r="M580" s="373"/>
      <c r="N580" s="373">
        <f ca="1">IFERROR(__xludf.DUMMYFUNCTION("IMPORTRANGE(""https://docs.google.com/spreadsheets/d/1XL5vhW3sbDhbH9Cz0tuDiY8C3ctxq1tqvaCgkFb8cCA/edit?usp=sharing"",""ศรีสะเกษ!M475"")"),18451.64)</f>
        <v>18451.64</v>
      </c>
      <c r="O580" s="373">
        <f t="shared" ref="O580:O584" ca="1" si="124">+IF(L580&gt;0,N580*100/L580,0)</f>
        <v>5.1866872803935351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IFERROR(__xludf.DUMMYFUNCTION("IMPORTRANGE(""https://docs.google.com/spreadsheets/d/1XL5vhW3sbDhbH9Cz0tuDiY8C3ctxq1tqvaCgkFb8cCA/edit?usp=sharing"",""ศรีสะเกษ!L476"")"),0)</f>
        <v>0</v>
      </c>
      <c r="M581" s="164"/>
      <c r="N581" s="169">
        <f ca="1">IFERROR(__xludf.DUMMYFUNCTION("IMPORTRANGE(""https://docs.google.com/spreadsheets/d/1XL5vhW3sbDhbH9Cz0tuDiY8C3ctxq1tqvaCgkFb8cCA/edit?usp=sharing"",""ศรีสะเกษ!M476"")"),0)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IFERROR(__xludf.DUMMYFUNCTION("IMPORTRANGE(""https://docs.google.com/spreadsheets/d/1XL5vhW3sbDhbH9Cz0tuDiY8C3ctxq1tqvaCgkFb8cCA/edit?usp=sharing"",""ศรีสะเกษ!L477"")"),355750)</f>
        <v>355750</v>
      </c>
      <c r="M582" s="165"/>
      <c r="N582" s="169">
        <f ca="1">IFERROR(__xludf.DUMMYFUNCTION("IMPORTRANGE(""https://docs.google.com/spreadsheets/d/1XL5vhW3sbDhbH9Cz0tuDiY8C3ctxq1tqvaCgkFb8cCA/edit?usp=sharing"",""ศรีสะเกษ!M477"")"),18451.64)</f>
        <v>18451.64</v>
      </c>
      <c r="O582" s="169">
        <f t="shared" ca="1" si="124"/>
        <v>5.1866872803935351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IFERROR(__xludf.DUMMYFUNCTION("IMPORTRANGE(""https://docs.google.com/spreadsheets/d/1XL5vhW3sbDhbH9Cz0tuDiY8C3ctxq1tqvaCgkFb8cCA/edit?usp=sharing"",""ศรีสะเกษ!L478"")"),0)</f>
        <v>0</v>
      </c>
      <c r="M583" s="169"/>
      <c r="N583" s="169">
        <f ca="1">IFERROR(__xludf.DUMMYFUNCTION("IMPORTRANGE(""https://docs.google.com/spreadsheets/d/1XL5vhW3sbDhbH9Cz0tuDiY8C3ctxq1tqvaCgkFb8cCA/edit?usp=sharing"",""ศรีสะเกษ!M478"")"),0)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IFERROR(__xludf.DUMMYFUNCTION("IMPORTRANGE(""https://docs.google.com/spreadsheets/d/1XL5vhW3sbDhbH9Cz0tuDiY8C3ctxq1tqvaCgkFb8cCA/edit?usp=sharing"",""ศรีสะเกษ!L479"")"),355750)</f>
        <v>355750</v>
      </c>
      <c r="M584" s="169"/>
      <c r="N584" s="169">
        <f ca="1">IFERROR(__xludf.DUMMYFUNCTION("IMPORTRANGE(""https://docs.google.com/spreadsheets/d/1XL5vhW3sbDhbH9Cz0tuDiY8C3ctxq1tqvaCgkFb8cCA/edit?usp=sharing"",""ศรีสะเกษ!M479"")"),18451.64)</f>
        <v>18451.64</v>
      </c>
      <c r="O584" s="169">
        <f t="shared" ca="1" si="124"/>
        <v>5.1866872803935351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IFERROR(__xludf.DUMMYFUNCTION("IMPORTRANGE(""https://docs.google.com/spreadsheets/d/1XL5vhW3sbDhbH9Cz0tuDiY8C3ctxq1tqvaCgkFb8cCA/edit?usp=sharing"",""ศรีสะเกษ!M480"")"),0)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IFERROR(__xludf.DUMMYFUNCTION("IMPORTRANGE(""https://docs.google.com/spreadsheets/d/1XL5vhW3sbDhbH9Cz0tuDiY8C3ctxq1tqvaCgkFb8cCA/edit?usp=sharing"",""ศรีสะเกษ!M481"")"),0)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IFERROR(__xludf.DUMMYFUNCTION("IMPORTRANGE(""https://docs.google.com/spreadsheets/d/1XL5vhW3sbDhbH9Cz0tuDiY8C3ctxq1tqvaCgkFb8cCA/edit?usp=sharing"",""ศรีสะเกษ!M482"")"),18451.64)</f>
        <v>18451.64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IFERROR(__xludf.DUMMYFUNCTION("IMPORTRANGE(""https://docs.google.com/spreadsheets/d/1XL5vhW3sbDhbH9Cz0tuDiY8C3ctxq1tqvaCgkFb8cCA/edit?usp=sharing"",""ศรีสะเกษ!M483"")"),0)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IFERROR(__xludf.DUMMYFUNCTION("IMPORTRANGE(""https://docs.google.com/spreadsheets/d/1XL5vhW3sbDhbH9Cz0tuDiY8C3ctxq1tqvaCgkFb8cCA/edit?usp=sharing"",""ศรีสะเกษ!I484"")"),150)</f>
        <v>150</v>
      </c>
      <c r="J589" s="188">
        <f ca="1">IFERROR(__xludf.DUMMYFUNCTION("IMPORTRANGE(""https://docs.google.com/spreadsheets/d/1XL5vhW3sbDhbH9Cz0tuDiY8C3ctxq1tqvaCgkFb8cCA/edit?usp=sharing"",""ศรีสะเกษ!J484"")"),24)</f>
        <v>24</v>
      </c>
      <c r="K589" s="163">
        <f t="shared" ref="K589:K596" ca="1" si="125">IF(I589&gt;0,J589*100/I589,0)</f>
        <v>16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IFERROR(__xludf.DUMMYFUNCTION("IMPORTRANGE(""https://docs.google.com/spreadsheets/d/1XL5vhW3sbDhbH9Cz0tuDiY8C3ctxq1tqvaCgkFb8cCA/edit?usp=sharing"",""ศรีสะเกษ!I485"")"),0)</f>
        <v>0</v>
      </c>
      <c r="J590" s="188">
        <f ca="1">IFERROR(__xludf.DUMMYFUNCTION("IMPORTRANGE(""https://docs.google.com/spreadsheets/d/1XL5vhW3sbDhbH9Cz0tuDiY8C3ctxq1tqvaCgkFb8cCA/edit?usp=sharing"",""ศรีสะเกษ!J485"")"),11.9)</f>
        <v>11.9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IFERROR(__xludf.DUMMYFUNCTION("IMPORTRANGE(""https://docs.google.com/spreadsheets/d/1XL5vhW3sbDhbH9Cz0tuDiY8C3ctxq1tqvaCgkFb8cCA/edit?usp=sharing"",""ศรีสะเกษ!I486"")"),150)</f>
        <v>150</v>
      </c>
      <c r="J591" s="188">
        <f ca="1">IFERROR(__xludf.DUMMYFUNCTION("IMPORTRANGE(""https://docs.google.com/spreadsheets/d/1XL5vhW3sbDhbH9Cz0tuDiY8C3ctxq1tqvaCgkFb8cCA/edit?usp=sharing"",""ศรีสะเกษ!J486"")"),12)</f>
        <v>12</v>
      </c>
      <c r="K591" s="163">
        <f t="shared" ca="1" si="125"/>
        <v>8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IFERROR(__xludf.DUMMYFUNCTION("IMPORTRANGE(""https://docs.google.com/spreadsheets/d/1XL5vhW3sbDhbH9Cz0tuDiY8C3ctxq1tqvaCgkFb8cCA/edit?usp=sharing"",""ศรีสะเกษ!I487"")"),0)</f>
        <v>0</v>
      </c>
      <c r="J592" s="188">
        <f ca="1">IFERROR(__xludf.DUMMYFUNCTION("IMPORTRANGE(""https://docs.google.com/spreadsheets/d/1XL5vhW3sbDhbH9Cz0tuDiY8C3ctxq1tqvaCgkFb8cCA/edit?usp=sharing"",""ศรีสะเกษ!J487"")"),5.22)</f>
        <v>5.22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IFERROR(__xludf.DUMMYFUNCTION("IMPORTRANGE(""https://docs.google.com/spreadsheets/d/1XL5vhW3sbDhbH9Cz0tuDiY8C3ctxq1tqvaCgkFb8cCA/edit?usp=sharing"",""ศรีสะเกษ!I488"")"),150)</f>
        <v>150</v>
      </c>
      <c r="J593" s="188">
        <f ca="1">IFERROR(__xludf.DUMMYFUNCTION("IMPORTRANGE(""https://docs.google.com/spreadsheets/d/1XL5vhW3sbDhbH9Cz0tuDiY8C3ctxq1tqvaCgkFb8cCA/edit?usp=sharing"",""ศรีสะเกษ!J488"")"),0)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IFERROR(__xludf.DUMMYFUNCTION("IMPORTRANGE(""https://docs.google.com/spreadsheets/d/1XL5vhW3sbDhbH9Cz0tuDiY8C3ctxq1tqvaCgkFb8cCA/edit?usp=sharing"",""ศรีสะเกษ!I489"")"),0)</f>
        <v>0</v>
      </c>
      <c r="J594" s="188">
        <f ca="1">IFERROR(__xludf.DUMMYFUNCTION("IMPORTRANGE(""https://docs.google.com/spreadsheets/d/1XL5vhW3sbDhbH9Cz0tuDiY8C3ctxq1tqvaCgkFb8cCA/edit?usp=sharing"",""ศรีสะเกษ!J489"")"),0)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IFERROR(__xludf.DUMMYFUNCTION("IMPORTRANGE(""https://docs.google.com/spreadsheets/d/1XL5vhW3sbDhbH9Cz0tuDiY8C3ctxq1tqvaCgkFb8cCA/edit?usp=sharing"",""ศรีสะเกษ!I490"")"),150)</f>
        <v>150</v>
      </c>
      <c r="J595" s="188">
        <f ca="1">IFERROR(__xludf.DUMMYFUNCTION("IMPORTRANGE(""https://docs.google.com/spreadsheets/d/1XL5vhW3sbDhbH9Cz0tuDiY8C3ctxq1tqvaCgkFb8cCA/edit?usp=sharing"",""ศรีสะเกษ!J490"")"),68)</f>
        <v>68</v>
      </c>
      <c r="K595" s="163">
        <f t="shared" ca="1" si="125"/>
        <v>45.333333333333336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IFERROR(__xludf.DUMMYFUNCTION("IMPORTRANGE(""https://docs.google.com/spreadsheets/d/1XL5vhW3sbDhbH9Cz0tuDiY8C3ctxq1tqvaCgkFb8cCA/edit?usp=sharing"",""ศรีสะเกษ!I491"")"),0)</f>
        <v>0</v>
      </c>
      <c r="J596" s="241">
        <f ca="1">IFERROR(__xludf.DUMMYFUNCTION("IMPORTRANGE(""https://docs.google.com/spreadsheets/d/1XL5vhW3sbDhbH9Cz0tuDiY8C3ctxq1tqvaCgkFb8cCA/edit?usp=sharing"",""ศรีสะเกษ!J491"")"),26.16)</f>
        <v>26.16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IFERROR(__xludf.DUMMYFUNCTION("IMPORTRANGE(""https://docs.google.com/spreadsheets/d/1XL5vhW3sbDhbH9Cz0tuDiY8C3ctxq1tqvaCgkFb8cCA/edit?usp=sharing"",""ศรีสะเกษ!I492"")"),100)</f>
        <v>100</v>
      </c>
      <c r="J597" s="487">
        <f ca="1">IFERROR(__xludf.DUMMYFUNCTION("IMPORTRANGE(""https://docs.google.com/spreadsheets/d/1XL5vhW3sbDhbH9Cz0tuDiY8C3ctxq1tqvaCgkFb8cCA/edit?usp=sharing"",""ศรีสะเกษ!J492"")"),0)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IFERROR(__xludf.DUMMYFUNCTION("IMPORTRANGE(""https://docs.google.com/spreadsheets/d/1XL5vhW3sbDhbH9Cz0tuDiY8C3ctxq1tqvaCgkFb8cCA/edit?usp=sharing"",""ศรีสะเกษ!L492"")"),9700)</f>
        <v>9700</v>
      </c>
      <c r="M597" s="412"/>
      <c r="N597" s="412">
        <f ca="1">IFERROR(__xludf.DUMMYFUNCTION("IMPORTRANGE(""https://docs.google.com/spreadsheets/d/1XL5vhW3sbDhbH9Cz0tuDiY8C3ctxq1tqvaCgkFb8cCA/edit?usp=sharing"",""ศรีสะเกษ!M492"")"),0)</f>
        <v>0</v>
      </c>
      <c r="O597" s="412">
        <f t="shared" ref="O597:O601" ca="1" si="126">+IF(L597&gt;0,N597*100/L597,0)</f>
        <v>0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IFERROR(__xludf.DUMMYFUNCTION("IMPORTRANGE(""https://docs.google.com/spreadsheets/d/1XL5vhW3sbDhbH9Cz0tuDiY8C3ctxq1tqvaCgkFb8cCA/edit?usp=sharing"",""ศรีสะเกษ!L493"")"),0)</f>
        <v>0</v>
      </c>
      <c r="M598" s="164"/>
      <c r="N598" s="169">
        <f ca="1">IFERROR(__xludf.DUMMYFUNCTION("IMPORTRANGE(""https://docs.google.com/spreadsheets/d/1XL5vhW3sbDhbH9Cz0tuDiY8C3ctxq1tqvaCgkFb8cCA/edit?usp=sharing"",""ศรีสะเกษ!M493"")"),0)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IFERROR(__xludf.DUMMYFUNCTION("IMPORTRANGE(""https://docs.google.com/spreadsheets/d/1XL5vhW3sbDhbH9Cz0tuDiY8C3ctxq1tqvaCgkFb8cCA/edit?usp=sharing"",""ศรีสะเกษ!L494"")"),9700)</f>
        <v>9700</v>
      </c>
      <c r="M599" s="165"/>
      <c r="N599" s="169">
        <f ca="1">IFERROR(__xludf.DUMMYFUNCTION("IMPORTRANGE(""https://docs.google.com/spreadsheets/d/1XL5vhW3sbDhbH9Cz0tuDiY8C3ctxq1tqvaCgkFb8cCA/edit?usp=sharing"",""ศรีสะเกษ!M494"")"),0)</f>
        <v>0</v>
      </c>
      <c r="O599" s="169">
        <f t="shared" ca="1" si="126"/>
        <v>0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IFERROR(__xludf.DUMMYFUNCTION("IMPORTRANGE(""https://docs.google.com/spreadsheets/d/1XL5vhW3sbDhbH9Cz0tuDiY8C3ctxq1tqvaCgkFb8cCA/edit?usp=sharing"",""ศรีสะเกษ!L495"")"),0)</f>
        <v>0</v>
      </c>
      <c r="M600" s="169"/>
      <c r="N600" s="169">
        <f ca="1">IFERROR(__xludf.DUMMYFUNCTION("IMPORTRANGE(""https://docs.google.com/spreadsheets/d/1XL5vhW3sbDhbH9Cz0tuDiY8C3ctxq1tqvaCgkFb8cCA/edit?usp=sharing"",""ศรีสะเกษ!M495"")"),0)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IFERROR(__xludf.DUMMYFUNCTION("IMPORTRANGE(""https://docs.google.com/spreadsheets/d/1XL5vhW3sbDhbH9Cz0tuDiY8C3ctxq1tqvaCgkFb8cCA/edit?usp=sharing"",""ศรีสะเกษ!L496"")"),9700)</f>
        <v>9700</v>
      </c>
      <c r="M601" s="169"/>
      <c r="N601" s="169">
        <f ca="1">IFERROR(__xludf.DUMMYFUNCTION("IMPORTRANGE(""https://docs.google.com/spreadsheets/d/1XL5vhW3sbDhbH9Cz0tuDiY8C3ctxq1tqvaCgkFb8cCA/edit?usp=sharing"",""ศรีสะเกษ!M496"")"),0)</f>
        <v>0</v>
      </c>
      <c r="O601" s="169">
        <f t="shared" ca="1" si="126"/>
        <v>0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IFERROR(__xludf.DUMMYFUNCTION("IMPORTRANGE(""https://docs.google.com/spreadsheets/d/1XL5vhW3sbDhbH9Cz0tuDiY8C3ctxq1tqvaCgkFb8cCA/edit?usp=sharing"",""ศรีสะเกษ!M497"")"),0)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IFERROR(__xludf.DUMMYFUNCTION("IMPORTRANGE(""https://docs.google.com/spreadsheets/d/1XL5vhW3sbDhbH9Cz0tuDiY8C3ctxq1tqvaCgkFb8cCA/edit?usp=sharing"",""ศรีสะเกษ!M498"")"),0)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IFERROR(__xludf.DUMMYFUNCTION("IMPORTRANGE(""https://docs.google.com/spreadsheets/d/1XL5vhW3sbDhbH9Cz0tuDiY8C3ctxq1tqvaCgkFb8cCA/edit?usp=sharing"",""ศรีสะเกษ!M499"")"),0)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IFERROR(__xludf.DUMMYFUNCTION("IMPORTRANGE(""https://docs.google.com/spreadsheets/d/1XL5vhW3sbDhbH9Cz0tuDiY8C3ctxq1tqvaCgkFb8cCA/edit?usp=sharing"",""ศรีสะเกษ!M500"")"),0)</f>
        <v>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IFERROR(__xludf.DUMMYFUNCTION("IMPORTRANGE(""https://docs.google.com/spreadsheets/d/1XL5vhW3sbDhbH9Cz0tuDiY8C3ctxq1tqvaCgkFb8cCA/edit?usp=sharing"",""ศรีสะเกษ!J502"")"),0)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IFERROR(__xludf.DUMMYFUNCTION("IMPORTRANGE(""https://docs.google.com/spreadsheets/d/1XL5vhW3sbDhbH9Cz0tuDiY8C3ctxq1tqvaCgkFb8cCA/edit?usp=sharing"",""ศรีสะเกษ!J503"")"),1)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539"/>
      <c r="B609" s="540"/>
      <c r="C609" s="540"/>
      <c r="D609" s="541"/>
      <c r="E609" s="542" t="s">
        <v>46</v>
      </c>
      <c r="F609" s="543"/>
      <c r="G609" s="544"/>
      <c r="H609" s="545"/>
      <c r="I609" s="546"/>
      <c r="J609" s="546">
        <f ca="1">IFERROR(__xludf.DUMMYFUNCTION("IMPORTRANGE(""https://docs.google.com/spreadsheets/d/1XL5vhW3sbDhbH9Cz0tuDiY8C3ctxq1tqvaCgkFb8cCA/edit?usp=sharing"",""ศรีสะเกษ!J166"")"),0)</f>
        <v>0</v>
      </c>
      <c r="K609" s="547"/>
      <c r="L609" s="548"/>
      <c r="M609" s="548"/>
      <c r="N609" s="548"/>
      <c r="O609" s="548"/>
      <c r="P609" s="548"/>
    </row>
    <row r="610" spans="1:16" ht="21.75" hidden="1" customHeight="1" x14ac:dyDescent="0.35">
      <c r="A610" s="539"/>
      <c r="B610" s="540"/>
      <c r="C610" s="540"/>
      <c r="D610" s="541"/>
      <c r="E610" s="542" t="s">
        <v>47</v>
      </c>
      <c r="F610" s="543"/>
      <c r="G610" s="544"/>
      <c r="H610" s="545"/>
      <c r="I610" s="546"/>
      <c r="J610" s="546">
        <f ca="1">IFERROR(__xludf.DUMMYFUNCTION("IMPORTRANGE(""https://docs.google.com/spreadsheets/d/1XL5vhW3sbDhbH9Cz0tuDiY8C3ctxq1tqvaCgkFb8cCA/edit?usp=sharing"",""ศรีสะเกษ!J166"")"),0)</f>
        <v>0</v>
      </c>
      <c r="K610" s="547"/>
      <c r="L610" s="548"/>
      <c r="M610" s="548"/>
      <c r="N610" s="548"/>
      <c r="O610" s="548"/>
      <c r="P610" s="548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IFERROR(__xludf.DUMMYFUNCTION("IMPORTRANGE(""https://docs.google.com/spreadsheets/d/1XL5vhW3sbDhbH9Cz0tuDiY8C3ctxq1tqvaCgkFb8cCA/edit?usp=sharing"",""ศรีสะเกษ!I506"")"),100)</f>
        <v>100</v>
      </c>
      <c r="J611" s="162">
        <f ca="1">IFERROR(__xludf.DUMMYFUNCTION("IMPORTRANGE(""https://docs.google.com/spreadsheets/d/1XL5vhW3sbDhbH9Cz0tuDiY8C3ctxq1tqvaCgkFb8cCA/edit?usp=sharing"",""ศรีสะเกษ!J506"")"),0)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IFERROR(__xludf.DUMMYFUNCTION("IMPORTRANGE(""https://docs.google.com/spreadsheets/d/1XL5vhW3sbDhbH9Cz0tuDiY8C3ctxq1tqvaCgkFb8cCA/edit?usp=sharing"",""ศรีสะเกษ!I507"")"),0)</f>
        <v>0</v>
      </c>
      <c r="J612" s="198">
        <f ca="1">IFERROR(__xludf.DUMMYFUNCTION("IMPORTRANGE(""https://docs.google.com/spreadsheets/d/1XL5vhW3sbDhbH9Cz0tuDiY8C3ctxq1tqvaCgkFb8cCA/edit?usp=sharing"",""ศรีสะเกษ!J507"")"),0)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IFERROR(__xludf.DUMMYFUNCTION("IMPORTRANGE(""https://docs.google.com/spreadsheets/d/1XL5vhW3sbDhbH9Cz0tuDiY8C3ctxq1tqvaCgkFb8cCA/edit?usp=sharing"",""ศรีสะเกษ!I508"")"),0)</f>
        <v>0</v>
      </c>
      <c r="J613" s="198">
        <f ca="1">IFERROR(__xludf.DUMMYFUNCTION("IMPORTRANGE(""https://docs.google.com/spreadsheets/d/1XL5vhW3sbDhbH9Cz0tuDiY8C3ctxq1tqvaCgkFb8cCA/edit?usp=sharing"",""ศรีสะเกษ!J508"")"),0)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IFERROR(__xludf.DUMMYFUNCTION("IMPORTRANGE(""https://docs.google.com/spreadsheets/d/1XL5vhW3sbDhbH9Cz0tuDiY8C3ctxq1tqvaCgkFb8cCA/edit?usp=sharing"",""ศรีสะเกษ!I509"")"),0)</f>
        <v>0</v>
      </c>
      <c r="J614" s="198">
        <f ca="1">IFERROR(__xludf.DUMMYFUNCTION("IMPORTRANGE(""https://docs.google.com/spreadsheets/d/1XL5vhW3sbDhbH9Cz0tuDiY8C3ctxq1tqvaCgkFb8cCA/edit?usp=sharing"",""ศรีสะเกษ!J509"")"),0)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IFERROR(__xludf.DUMMYFUNCTION("IMPORTRANGE(""https://docs.google.com/spreadsheets/d/1XL5vhW3sbDhbH9Cz0tuDiY8C3ctxq1tqvaCgkFb8cCA/edit?usp=sharing"",""ศรีสะเกษ!I510"")"),0)</f>
        <v>0</v>
      </c>
      <c r="J615" s="198">
        <f ca="1">IFERROR(__xludf.DUMMYFUNCTION("IMPORTRANGE(""https://docs.google.com/spreadsheets/d/1XL5vhW3sbDhbH9Cz0tuDiY8C3ctxq1tqvaCgkFb8cCA/edit?usp=sharing"",""ศรีสะเกษ!J510"")"),0)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IFERROR(__xludf.DUMMYFUNCTION("IMPORTRANGE(""https://docs.google.com/spreadsheets/d/1XL5vhW3sbDhbH9Cz0tuDiY8C3ctxq1tqvaCgkFb8cCA/edit?usp=sharing"",""ศรีสะเกษ!I511"")"),0)</f>
        <v>0</v>
      </c>
      <c r="J616" s="198">
        <f ca="1">IFERROR(__xludf.DUMMYFUNCTION("IMPORTRANGE(""https://docs.google.com/spreadsheets/d/1XL5vhW3sbDhbH9Cz0tuDiY8C3ctxq1tqvaCgkFb8cCA/edit?usp=sharing"",""ศรีสะเกษ!J511"")"),0)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IFERROR(__xludf.DUMMYFUNCTION("IMPORTRANGE(""https://docs.google.com/spreadsheets/d/1XL5vhW3sbDhbH9Cz0tuDiY8C3ctxq1tqvaCgkFb8cCA/edit?usp=sharing"",""ศรีสะเกษ!I512"")"),0)</f>
        <v>0</v>
      </c>
      <c r="J617" s="188">
        <f ca="1">IFERROR(__xludf.DUMMYFUNCTION("IMPORTRANGE(""https://docs.google.com/spreadsheets/d/1XL5vhW3sbDhbH9Cz0tuDiY8C3ctxq1tqvaCgkFb8cCA/edit?usp=sharing"",""ศรีสะเกษ!J512"")"),0)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IFERROR(__xludf.DUMMYFUNCTION("IMPORTRANGE(""https://docs.google.com/spreadsheets/d/1XL5vhW3sbDhbH9Cz0tuDiY8C3ctxq1tqvaCgkFb8cCA/edit?usp=sharing"",""ศรีสะเกษ!I513"")"),0)</f>
        <v>0</v>
      </c>
      <c r="J618" s="189">
        <f ca="1">IFERROR(__xludf.DUMMYFUNCTION("IMPORTRANGE(""https://docs.google.com/spreadsheets/d/1XL5vhW3sbDhbH9Cz0tuDiY8C3ctxq1tqvaCgkFb8cCA/edit?usp=sharing"",""ศรีสะเกษ!J513"")"),0)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IFERROR(__xludf.DUMMYFUNCTION("IMPORTRANGE(""https://docs.google.com/spreadsheets/d/1XL5vhW3sbDhbH9Cz0tuDiY8C3ctxq1tqvaCgkFb8cCA/edit?usp=sharing"",""ศรีสะเกษ!I514"")"),0)</f>
        <v>0</v>
      </c>
      <c r="J619" s="189">
        <f ca="1">IFERROR(__xludf.DUMMYFUNCTION("IMPORTRANGE(""https://docs.google.com/spreadsheets/d/1XL5vhW3sbDhbH9Cz0tuDiY8C3ctxq1tqvaCgkFb8cCA/edit?usp=sharing"",""ศรีสะเกษ!J514"")"),0)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IFERROR(__xludf.DUMMYFUNCTION("IMPORTRANGE(""https://docs.google.com/spreadsheets/d/1XL5vhW3sbDhbH9Cz0tuDiY8C3ctxq1tqvaCgkFb8cCA/edit?usp=sharing"",""ศรีสะเกษ!I515"")"),0)</f>
        <v>0</v>
      </c>
      <c r="J620" s="203">
        <f ca="1">IFERROR(__xludf.DUMMYFUNCTION("IMPORTRANGE(""https://docs.google.com/spreadsheets/d/1XL5vhW3sbDhbH9Cz0tuDiY8C3ctxq1tqvaCgkFb8cCA/edit?usp=sharing"",""ศรีสะเกษ!J515"")"),0)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IFERROR(__xludf.DUMMYFUNCTION("IMPORTRANGE(""https://docs.google.com/spreadsheets/d/1XL5vhW3sbDhbH9Cz0tuDiY8C3ctxq1tqvaCgkFb8cCA/edit?usp=sharing"",""ศรีสะเกษ!I516"")"),0)</f>
        <v>0</v>
      </c>
      <c r="J621" s="203">
        <f ca="1">IFERROR(__xludf.DUMMYFUNCTION("IMPORTRANGE(""https://docs.google.com/spreadsheets/d/1XL5vhW3sbDhbH9Cz0tuDiY8C3ctxq1tqvaCgkFb8cCA/edit?usp=sharing"",""ศรีสะเกษ!J516"")"),0)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IFERROR(__xludf.DUMMYFUNCTION("IMPORTRANGE(""https://docs.google.com/spreadsheets/d/1XL5vhW3sbDhbH9Cz0tuDiY8C3ctxq1tqvaCgkFb8cCA/edit?usp=sharing"",""ศรีสะเกษ!I517"")"),0)</f>
        <v>0</v>
      </c>
      <c r="J622" s="189">
        <f ca="1">IFERROR(__xludf.DUMMYFUNCTION("IMPORTRANGE(""https://docs.google.com/spreadsheets/d/1XL5vhW3sbDhbH9Cz0tuDiY8C3ctxq1tqvaCgkFb8cCA/edit?usp=sharing"",""ศรีสะเกษ!J517"")"),0)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IFERROR(__xludf.DUMMYFUNCTION("IMPORTRANGE(""https://docs.google.com/spreadsheets/d/1XL5vhW3sbDhbH9Cz0tuDiY8C3ctxq1tqvaCgkFb8cCA/edit?usp=sharing"",""ศรีสะเกษ!I518"")"),0)</f>
        <v>0</v>
      </c>
      <c r="J623" s="189">
        <f ca="1">IFERROR(__xludf.DUMMYFUNCTION("IMPORTRANGE(""https://docs.google.com/spreadsheets/d/1XL5vhW3sbDhbH9Cz0tuDiY8C3ctxq1tqvaCgkFb8cCA/edit?usp=sharing"",""ศรีสะเกษ!J518"")"),0)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IFERROR(__xludf.DUMMYFUNCTION("IMPORTRANGE(""https://docs.google.com/spreadsheets/d/1XL5vhW3sbDhbH9Cz0tuDiY8C3ctxq1tqvaCgkFb8cCA/edit?usp=sharing"",""ศรีสะเกษ!I519"")"),0)</f>
        <v>0</v>
      </c>
      <c r="J624" s="188">
        <f ca="1">IFERROR(__xludf.DUMMYFUNCTION("IMPORTRANGE(""https://docs.google.com/spreadsheets/d/1XL5vhW3sbDhbH9Cz0tuDiY8C3ctxq1tqvaCgkFb8cCA/edit?usp=sharing"",""ศรีสะเกษ!J519"")"),0)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IFERROR(__xludf.DUMMYFUNCTION("IMPORTRANGE(""https://docs.google.com/spreadsheets/d/1XL5vhW3sbDhbH9Cz0tuDiY8C3ctxq1tqvaCgkFb8cCA/edit?usp=sharing"",""ศรีสะเกษ!I520"")"),0)</f>
        <v>0</v>
      </c>
      <c r="J625" s="189">
        <f ca="1">IFERROR(__xludf.DUMMYFUNCTION("IMPORTRANGE(""https://docs.google.com/spreadsheets/d/1XL5vhW3sbDhbH9Cz0tuDiY8C3ctxq1tqvaCgkFb8cCA/edit?usp=sharing"",""ศรีสะเกษ!J520"")"),0)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IFERROR(__xludf.DUMMYFUNCTION("IMPORTRANGE(""https://docs.google.com/spreadsheets/d/1XL5vhW3sbDhbH9Cz0tuDiY8C3ctxq1tqvaCgkFb8cCA/edit?usp=sharing"",""ศรีสะเกษ!I521"")"),0)</f>
        <v>0</v>
      </c>
      <c r="J626" s="189">
        <f ca="1">IFERROR(__xludf.DUMMYFUNCTION("IMPORTRANGE(""https://docs.google.com/spreadsheets/d/1XL5vhW3sbDhbH9Cz0tuDiY8C3ctxq1tqvaCgkFb8cCA/edit?usp=sharing"",""ศรีสะเกษ!J521"")"),0)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IFERROR(__xludf.DUMMYFUNCTION("IMPORTRANGE(""https://docs.google.com/spreadsheets/d/1XL5vhW3sbDhbH9Cz0tuDiY8C3ctxq1tqvaCgkFb8cCA/edit?usp=sharing"",""ศรีสะเกษ!I523"")"),8980801.81)</f>
        <v>8980801.8100000005</v>
      </c>
      <c r="J628" s="341">
        <f ca="1">IFERROR(__xludf.DUMMYFUNCTION("IMPORTRANGE(""https://docs.google.com/spreadsheets/d/1XL5vhW3sbDhbH9Cz0tuDiY8C3ctxq1tqvaCgkFb8cCA/edit?usp=sharing"",""ศรีสะเกษ!J523"")"),2655351.35)</f>
        <v>2655351.35</v>
      </c>
      <c r="K628" s="342">
        <f t="shared" ref="K628:K635" ca="1" si="129">IF(I628&gt;0,J628*100/I628,0)</f>
        <v>29.566974154170762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IFERROR(__xludf.DUMMYFUNCTION("IMPORTRANGE(""https://docs.google.com/spreadsheets/d/1XL5vhW3sbDhbH9Cz0tuDiY8C3ctxq1tqvaCgkFb8cCA/edit?usp=sharing"",""ศรีสะเกษ!I524"")"),695)</f>
        <v>695</v>
      </c>
      <c r="J629" s="341">
        <f ca="1">IFERROR(__xludf.DUMMYFUNCTION("IMPORTRANGE(""https://docs.google.com/spreadsheets/d/1XL5vhW3sbDhbH9Cz0tuDiY8C3ctxq1tqvaCgkFb8cCA/edit?usp=sharing"",""ศรีสะเกษ!J524"")"),193)</f>
        <v>193</v>
      </c>
      <c r="K629" s="342">
        <f t="shared" ca="1" si="129"/>
        <v>27.769784172661872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IFERROR(__xludf.DUMMYFUNCTION("IMPORTRANGE(""https://docs.google.com/spreadsheets/d/1XL5vhW3sbDhbH9Cz0tuDiY8C3ctxq1tqvaCgkFb8cCA/edit?usp=sharing"",""ศรีสะเกษ!I525"")"),22965208.2)</f>
        <v>22965208.199999999</v>
      </c>
      <c r="J630" s="341">
        <f ca="1">IFERROR(__xludf.DUMMYFUNCTION("IMPORTRANGE(""https://docs.google.com/spreadsheets/d/1XL5vhW3sbDhbH9Cz0tuDiY8C3ctxq1tqvaCgkFb8cCA/edit?usp=sharing"",""ศรีสะเกษ!J525"")"),2632184.26)</f>
        <v>2632184.2599999998</v>
      </c>
      <c r="K630" s="342">
        <f t="shared" ca="1" si="129"/>
        <v>11.461617230189098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IFERROR(__xludf.DUMMYFUNCTION("IMPORTRANGE(""https://docs.google.com/spreadsheets/d/1XL5vhW3sbDhbH9Cz0tuDiY8C3ctxq1tqvaCgkFb8cCA/edit?usp=sharing"",""ศรีสะเกษ!I526"")"),1393)</f>
        <v>1393</v>
      </c>
      <c r="J631" s="341">
        <f ca="1">IFERROR(__xludf.DUMMYFUNCTION("IMPORTRANGE(""https://docs.google.com/spreadsheets/d/1XL5vhW3sbDhbH9Cz0tuDiY8C3ctxq1tqvaCgkFb8cCA/edit?usp=sharing"",""ศรีสะเกษ!J526"")"),407)</f>
        <v>407</v>
      </c>
      <c r="K631" s="342">
        <f t="shared" ca="1" si="129"/>
        <v>29.217516152189518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IFERROR(__xludf.DUMMYFUNCTION("IMPORTRANGE(""https://docs.google.com/spreadsheets/d/1XL5vhW3sbDhbH9Cz0tuDiY8C3ctxq1tqvaCgkFb8cCA/edit?usp=sharing"",""ศรีสะเกษ!I527"")"),1857041.74)</f>
        <v>1857041.74</v>
      </c>
      <c r="J632" s="341">
        <f ca="1">IFERROR(__xludf.DUMMYFUNCTION("IMPORTRANGE(""https://docs.google.com/spreadsheets/d/1XL5vhW3sbDhbH9Cz0tuDiY8C3ctxq1tqvaCgkFb8cCA/edit?usp=sharing"",""ศรีสะเกษ!J527"")"),513033.99)</f>
        <v>513033.99</v>
      </c>
      <c r="K632" s="342">
        <f t="shared" ca="1" si="129"/>
        <v>27.626411348190807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IFERROR(__xludf.DUMMYFUNCTION("IMPORTRANGE(""https://docs.google.com/spreadsheets/d/1XL5vhW3sbDhbH9Cz0tuDiY8C3ctxq1tqvaCgkFb8cCA/edit?usp=sharing"",""ศรีสะเกษ!I528"")"),105)</f>
        <v>105</v>
      </c>
      <c r="J633" s="341">
        <f ca="1">IFERROR(__xludf.DUMMYFUNCTION("IMPORTRANGE(""https://docs.google.com/spreadsheets/d/1XL5vhW3sbDhbH9Cz0tuDiY8C3ctxq1tqvaCgkFb8cCA/edit?usp=sharing"",""ศรีสะเกษ!J528"")"),28)</f>
        <v>28</v>
      </c>
      <c r="K633" s="342">
        <f t="shared" ca="1" si="129"/>
        <v>26.666666666666668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IFERROR(__xludf.DUMMYFUNCTION("IMPORTRANGE(""https://docs.google.com/spreadsheets/d/1XL5vhW3sbDhbH9Cz0tuDiY8C3ctxq1tqvaCgkFb8cCA/edit?usp=sharing"",""ศรีสะเกษ!I529"")"),8000000)</f>
        <v>8000000</v>
      </c>
      <c r="J634" s="341">
        <f ca="1">IFERROR(__xludf.DUMMYFUNCTION("IMPORTRANGE(""https://docs.google.com/spreadsheets/d/1XL5vhW3sbDhbH9Cz0tuDiY8C3ctxq1tqvaCgkFb8cCA/edit?usp=sharing"",""ศรีสะเกษ!J529"")"),8000000)</f>
        <v>8000000</v>
      </c>
      <c r="K634" s="342">
        <f t="shared" ca="1" si="129"/>
        <v>100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IFERROR(__xludf.DUMMYFUNCTION("IMPORTRANGE(""https://docs.google.com/spreadsheets/d/1XL5vhW3sbDhbH9Cz0tuDiY8C3ctxq1tqvaCgkFb8cCA/edit?usp=sharing"",""ศรีสะเกษ!I530"")"),200)</f>
        <v>200</v>
      </c>
      <c r="J635" s="504">
        <f ca="1">IFERROR(__xludf.DUMMYFUNCTION("IMPORTRANGE(""https://docs.google.com/spreadsheets/d/1XL5vhW3sbDhbH9Cz0tuDiY8C3ctxq1tqvaCgkFb8cCA/edit?usp=sharing"",""ศรีสะเกษ!J530"")"),240)</f>
        <v>240</v>
      </c>
      <c r="K635" s="486">
        <f t="shared" ca="1" si="129"/>
        <v>120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49" t="s">
        <v>237</v>
      </c>
      <c r="F636" s="549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12" sqref="J12"/>
      <selection pane="bottomLeft" activeCell="G555" sqref="G555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5.36328125" bestFit="1" customWidth="1"/>
    <col min="10" max="10" width="13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56" t="s">
        <v>0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</row>
    <row r="2" spans="1:16" ht="18" customHeight="1" x14ac:dyDescent="0.35">
      <c r="A2" s="556" t="s">
        <v>264</v>
      </c>
      <c r="B2" s="556"/>
      <c r="C2" s="556"/>
      <c r="D2" s="556"/>
      <c r="E2" s="556"/>
      <c r="F2" s="556"/>
      <c r="G2" s="556"/>
      <c r="H2" s="556"/>
      <c r="I2" s="556"/>
      <c r="J2" s="556"/>
      <c r="K2" s="556"/>
      <c r="L2" s="556"/>
      <c r="M2" s="556"/>
      <c r="N2" s="556"/>
      <c r="O2" s="556"/>
      <c r="P2" s="556"/>
    </row>
    <row r="3" spans="1:16" ht="18" customHeight="1" x14ac:dyDescent="0.35">
      <c r="A3" s="556" t="s">
        <v>278</v>
      </c>
      <c r="B3" s="556"/>
      <c r="C3" s="556"/>
      <c r="D3" s="556"/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6"/>
      <c r="P3" s="55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79" t="s">
        <v>2</v>
      </c>
      <c r="B5" s="565"/>
      <c r="C5" s="565"/>
      <c r="D5" s="565"/>
      <c r="E5" s="565"/>
      <c r="F5" s="565"/>
      <c r="G5" s="566"/>
      <c r="H5" s="578" t="s">
        <v>3</v>
      </c>
      <c r="I5" s="559" t="s">
        <v>4</v>
      </c>
      <c r="J5" s="560"/>
      <c r="K5" s="561"/>
      <c r="L5" s="562" t="s">
        <v>5</v>
      </c>
      <c r="M5" s="561"/>
      <c r="N5" s="563" t="s">
        <v>6</v>
      </c>
      <c r="O5" s="560"/>
      <c r="P5" s="561"/>
    </row>
    <row r="6" spans="1:16" ht="21.75" customHeight="1" x14ac:dyDescent="0.35">
      <c r="A6" s="567"/>
      <c r="B6" s="568"/>
      <c r="C6" s="568"/>
      <c r="D6" s="568"/>
      <c r="E6" s="568"/>
      <c r="F6" s="568"/>
      <c r="G6" s="569"/>
      <c r="H6" s="55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80" t="s">
        <v>15</v>
      </c>
      <c r="B7" s="560"/>
      <c r="C7" s="560"/>
      <c r="D7" s="560"/>
      <c r="E7" s="560"/>
      <c r="F7" s="560"/>
      <c r="G7" s="561"/>
      <c r="H7" s="512"/>
      <c r="I7" s="513"/>
      <c r="J7" s="513"/>
      <c r="K7" s="514"/>
      <c r="L7" s="515"/>
      <c r="M7" s="514"/>
      <c r="N7" s="515"/>
      <c r="O7" s="516"/>
      <c r="P7" s="516"/>
    </row>
    <row r="8" spans="1:16" ht="21.75" customHeight="1" x14ac:dyDescent="0.45">
      <c r="A8" s="17"/>
      <c r="B8" s="18"/>
      <c r="C8" s="19" t="s">
        <v>16</v>
      </c>
      <c r="D8" s="571" t="s">
        <v>17</v>
      </c>
      <c r="E8" s="555"/>
      <c r="F8" s="555"/>
      <c r="G8" s="555"/>
      <c r="H8" s="20" t="s">
        <v>12</v>
      </c>
      <c r="I8" s="21"/>
      <c r="J8" s="21"/>
      <c r="K8" s="22"/>
      <c r="L8" s="23">
        <f t="shared" ref="L8:N8" ca="1" si="0">L9+L10</f>
        <v>6651286</v>
      </c>
      <c r="M8" s="23">
        <f t="shared" ca="1" si="0"/>
        <v>3439805</v>
      </c>
      <c r="N8" s="23">
        <f t="shared" ca="1" si="0"/>
        <v>3130499.87</v>
      </c>
      <c r="O8" s="22">
        <f t="shared" ref="O8:O16" ca="1" si="1">IF(L8&gt;0,N8*100/L8,0)</f>
        <v>47.066084212887553</v>
      </c>
      <c r="P8" s="22">
        <f t="shared" ref="P8:P16" ca="1" si="2">IF(M8&gt;0,N8*100/M8,0)</f>
        <v>91.008062084914698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6651286</v>
      </c>
      <c r="M10" s="30">
        <f t="shared" ca="1" si="4"/>
        <v>3439805</v>
      </c>
      <c r="N10" s="30">
        <f t="shared" ca="1" si="4"/>
        <v>3130499.87</v>
      </c>
      <c r="O10" s="29">
        <f t="shared" ca="1" si="1"/>
        <v>47.066084212887553</v>
      </c>
      <c r="P10" s="29">
        <f t="shared" ca="1" si="2"/>
        <v>91.008062084914698</v>
      </c>
    </row>
    <row r="11" spans="1:16" ht="21.75" customHeight="1" x14ac:dyDescent="0.45">
      <c r="A11" s="31"/>
      <c r="B11" s="32"/>
      <c r="C11" s="33" t="s">
        <v>16</v>
      </c>
      <c r="D11" s="572" t="s">
        <v>20</v>
      </c>
      <c r="E11" s="553"/>
      <c r="F11" s="55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6464886</v>
      </c>
      <c r="M12" s="38">
        <f t="shared" ca="1" si="6"/>
        <v>3253405</v>
      </c>
      <c r="N12" s="38">
        <f t="shared" ca="1" si="6"/>
        <v>2944099.87</v>
      </c>
      <c r="O12" s="38">
        <f t="shared" ca="1" si="1"/>
        <v>45.53985747003118</v>
      </c>
      <c r="P12" s="38">
        <f t="shared" ca="1" si="2"/>
        <v>90.49287961381998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2335900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4128986</v>
      </c>
      <c r="M14" s="38">
        <f t="shared" si="8"/>
        <v>0</v>
      </c>
      <c r="N14" s="38">
        <f t="shared" ca="1" si="8"/>
        <v>926033.72</v>
      </c>
      <c r="O14" s="38">
        <f t="shared" ca="1" si="1"/>
        <v>22.427630415797001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2" t="s">
        <v>23</v>
      </c>
      <c r="E15" s="55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186400</v>
      </c>
      <c r="M16" s="38">
        <f t="shared" ca="1" si="10"/>
        <v>186400</v>
      </c>
      <c r="N16" s="38">
        <f t="shared" ca="1" si="10"/>
        <v>186400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80" t="s">
        <v>24</v>
      </c>
      <c r="B17" s="560"/>
      <c r="C17" s="560"/>
      <c r="D17" s="560"/>
      <c r="E17" s="560"/>
      <c r="F17" s="560"/>
      <c r="G17" s="561"/>
      <c r="H17" s="512"/>
      <c r="I17" s="513"/>
      <c r="J17" s="513"/>
      <c r="K17" s="514"/>
      <c r="L17" s="515"/>
      <c r="M17" s="514"/>
      <c r="N17" s="515"/>
      <c r="O17" s="516"/>
      <c r="P17" s="516"/>
    </row>
    <row r="18" spans="1:16" ht="21.75" customHeight="1" x14ac:dyDescent="0.45">
      <c r="A18" s="17"/>
      <c r="B18" s="18"/>
      <c r="C18" s="19" t="s">
        <v>16</v>
      </c>
      <c r="D18" s="571" t="s">
        <v>17</v>
      </c>
      <c r="E18" s="555"/>
      <c r="F18" s="555"/>
      <c r="G18" s="555"/>
      <c r="H18" s="20" t="s">
        <v>12</v>
      </c>
      <c r="I18" s="21"/>
      <c r="J18" s="21"/>
      <c r="K18" s="22"/>
      <c r="L18" s="23">
        <f t="shared" ref="L18:N18" ca="1" si="11">L19+L20</f>
        <v>4345260</v>
      </c>
      <c r="M18" s="23">
        <f t="shared" ca="1" si="11"/>
        <v>3439805</v>
      </c>
      <c r="N18" s="23">
        <f t="shared" ca="1" si="11"/>
        <v>2204466.15</v>
      </c>
      <c r="O18" s="22">
        <f t="shared" ref="O18:O20" ca="1" si="12">IF(L18&gt;0,N18*100/L18,0)</f>
        <v>50.73266386821502</v>
      </c>
      <c r="P18" s="22">
        <f t="shared" ref="P18:P26" ca="1" si="13">IF(M18&gt;0,N18*100/M18,0)</f>
        <v>64.086951149847152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4345260</v>
      </c>
      <c r="M20" s="30">
        <f t="shared" ca="1" si="15"/>
        <v>3439805</v>
      </c>
      <c r="N20" s="30">
        <f t="shared" ca="1" si="15"/>
        <v>2204466.15</v>
      </c>
      <c r="O20" s="29">
        <f t="shared" ca="1" si="12"/>
        <v>50.73266386821502</v>
      </c>
      <c r="P20" s="29">
        <f t="shared" ca="1" si="13"/>
        <v>64.086951149847152</v>
      </c>
    </row>
    <row r="21" spans="1:16" ht="21.75" customHeight="1" x14ac:dyDescent="0.45">
      <c r="A21" s="31"/>
      <c r="B21" s="32"/>
      <c r="C21" s="33" t="s">
        <v>16</v>
      </c>
      <c r="D21" s="572" t="s">
        <v>20</v>
      </c>
      <c r="E21" s="553"/>
      <c r="F21" s="55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4158860</v>
      </c>
      <c r="M22" s="41">
        <f t="shared" ca="1" si="18"/>
        <v>3253405</v>
      </c>
      <c r="N22" s="38">
        <f t="shared" ca="1" si="18"/>
        <v>2018066.15</v>
      </c>
      <c r="O22" s="38">
        <f t="shared" ca="1" si="17"/>
        <v>48.524503109025069</v>
      </c>
      <c r="P22" s="38">
        <f t="shared" ca="1" si="13"/>
        <v>62.029355398421039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2335900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1822960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2" t="s">
        <v>23</v>
      </c>
      <c r="E25" s="55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186400</v>
      </c>
      <c r="M26" s="49">
        <f t="shared" ca="1" si="22"/>
        <v>186400</v>
      </c>
      <c r="N26" s="49">
        <f t="shared" ca="1" si="22"/>
        <v>186400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80" t="s">
        <v>25</v>
      </c>
      <c r="B27" s="560"/>
      <c r="C27" s="560"/>
      <c r="D27" s="560"/>
      <c r="E27" s="560"/>
      <c r="F27" s="560"/>
      <c r="G27" s="561"/>
      <c r="H27" s="512"/>
      <c r="I27" s="513"/>
      <c r="J27" s="513"/>
      <c r="K27" s="514"/>
      <c r="L27" s="515"/>
      <c r="M27" s="514"/>
      <c r="N27" s="515"/>
      <c r="O27" s="516"/>
      <c r="P27" s="516"/>
    </row>
    <row r="28" spans="1:16" ht="21.75" customHeight="1" x14ac:dyDescent="0.45">
      <c r="A28" s="17"/>
      <c r="B28" s="18"/>
      <c r="C28" s="19" t="s">
        <v>16</v>
      </c>
      <c r="D28" s="571" t="s">
        <v>17</v>
      </c>
      <c r="E28" s="555"/>
      <c r="F28" s="555"/>
      <c r="G28" s="555"/>
      <c r="H28" s="20" t="s">
        <v>12</v>
      </c>
      <c r="I28" s="21"/>
      <c r="J28" s="21"/>
      <c r="K28" s="22"/>
      <c r="L28" s="23">
        <f t="shared" ref="L28:N28" ca="1" si="23">L29+L30</f>
        <v>2306026</v>
      </c>
      <c r="M28" s="23">
        <f t="shared" si="23"/>
        <v>0</v>
      </c>
      <c r="N28" s="23">
        <f t="shared" ca="1" si="23"/>
        <v>926033.72</v>
      </c>
      <c r="O28" s="22">
        <f t="shared" ref="O28:O30" ca="1" si="24">IF(L28&gt;0,N28*100/L28,0)</f>
        <v>40.157123987327118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2306026</v>
      </c>
      <c r="M30" s="30">
        <f t="shared" si="27"/>
        <v>0</v>
      </c>
      <c r="N30" s="30">
        <f t="shared" ca="1" si="27"/>
        <v>926033.72</v>
      </c>
      <c r="O30" s="29">
        <f t="shared" ca="1" si="24"/>
        <v>40.157123987327118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2" t="s">
        <v>20</v>
      </c>
      <c r="E31" s="553"/>
      <c r="F31" s="55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2306026</v>
      </c>
      <c r="M32" s="38">
        <f t="shared" si="30"/>
        <v>0</v>
      </c>
      <c r="N32" s="38">
        <f t="shared" ca="1" si="30"/>
        <v>926033.72</v>
      </c>
      <c r="O32" s="38">
        <f t="shared" ca="1" si="29"/>
        <v>40.157123987327118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2306026</v>
      </c>
      <c r="M34" s="38">
        <f t="shared" si="32"/>
        <v>0</v>
      </c>
      <c r="N34" s="38">
        <f t="shared" ca="1" si="32"/>
        <v>926033.72</v>
      </c>
      <c r="O34" s="38">
        <f t="shared" ca="1" si="29"/>
        <v>40.157123987327118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2" t="s">
        <v>23</v>
      </c>
      <c r="E35" s="55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4345260</v>
      </c>
      <c r="M37" s="54">
        <f t="shared" ca="1" si="33"/>
        <v>3439805</v>
      </c>
      <c r="N37" s="54">
        <f t="shared" ca="1" si="33"/>
        <v>2204466.1500000004</v>
      </c>
      <c r="O37" s="55">
        <f t="shared" ca="1" si="29"/>
        <v>50.732663868215027</v>
      </c>
      <c r="P37" s="55">
        <f t="shared" ca="1" si="25"/>
        <v>64.086951149847167</v>
      </c>
    </row>
    <row r="38" spans="1:16" ht="21.75" customHeight="1" x14ac:dyDescent="0.45">
      <c r="A38" s="581" t="s">
        <v>27</v>
      </c>
      <c r="B38" s="560"/>
      <c r="C38" s="560"/>
      <c r="D38" s="560"/>
      <c r="E38" s="560"/>
      <c r="F38" s="560"/>
      <c r="G38" s="561"/>
      <c r="H38" s="517"/>
      <c r="I38" s="518"/>
      <c r="J38" s="518"/>
      <c r="K38" s="519"/>
      <c r="L38" s="520"/>
      <c r="M38" s="520"/>
      <c r="N38" s="520"/>
      <c r="O38" s="520"/>
      <c r="P38" s="520"/>
    </row>
    <row r="39" spans="1:16" ht="21.75" customHeight="1" x14ac:dyDescent="0.45">
      <c r="A39" s="521"/>
      <c r="B39" s="582" t="s">
        <v>28</v>
      </c>
      <c r="C39" s="555"/>
      <c r="D39" s="555"/>
      <c r="E39" s="555"/>
      <c r="F39" s="555"/>
      <c r="G39" s="555"/>
      <c r="H39" s="522"/>
      <c r="I39" s="523"/>
      <c r="J39" s="523"/>
      <c r="K39" s="524"/>
      <c r="L39" s="525"/>
      <c r="M39" s="525"/>
      <c r="N39" s="525"/>
      <c r="O39" s="524"/>
      <c r="P39" s="524"/>
    </row>
    <row r="40" spans="1:16" ht="21.75" customHeight="1" x14ac:dyDescent="0.45">
      <c r="A40" s="526"/>
      <c r="B40" s="527" t="s">
        <v>29</v>
      </c>
      <c r="C40" s="528"/>
      <c r="D40" s="528"/>
      <c r="E40" s="528"/>
      <c r="F40" s="528"/>
      <c r="G40" s="528"/>
      <c r="H40" s="529"/>
      <c r="I40" s="530"/>
      <c r="J40" s="530"/>
      <c r="K40" s="531"/>
      <c r="L40" s="532"/>
      <c r="M40" s="532"/>
      <c r="N40" s="532"/>
      <c r="O40" s="531"/>
      <c r="P40" s="531"/>
    </row>
    <row r="41" spans="1:16" ht="21.75" customHeight="1" x14ac:dyDescent="0.45">
      <c r="A41" s="72"/>
      <c r="B41" s="73"/>
      <c r="C41" s="74" t="s">
        <v>16</v>
      </c>
      <c r="D41" s="575" t="s">
        <v>17</v>
      </c>
      <c r="E41" s="553"/>
      <c r="F41" s="553"/>
      <c r="G41" s="553"/>
      <c r="H41" s="75" t="s">
        <v>12</v>
      </c>
      <c r="I41" s="76"/>
      <c r="J41" s="76"/>
      <c r="K41" s="77"/>
      <c r="L41" s="78">
        <f t="shared" ref="L41:N41" ca="1" si="34">L42+L43</f>
        <v>882500</v>
      </c>
      <c r="M41" s="78">
        <f t="shared" ca="1" si="34"/>
        <v>709500</v>
      </c>
      <c r="N41" s="78">
        <f t="shared" ca="1" si="34"/>
        <v>498347.24</v>
      </c>
      <c r="O41" s="77">
        <f t="shared" ref="O41:O43" ca="1" si="35">IF(L41&gt;0,N41*100/L41,0)</f>
        <v>56.469942209631725</v>
      </c>
      <c r="P41" s="77">
        <f t="shared" ref="P41:P43" ca="1" si="36">IF(M41&gt;0,N41*100/M41,0)</f>
        <v>70.239216349541934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882500</v>
      </c>
      <c r="M43" s="78">
        <f t="shared" ca="1" si="38"/>
        <v>709500</v>
      </c>
      <c r="N43" s="78">
        <f t="shared" ca="1" si="38"/>
        <v>498347.24</v>
      </c>
      <c r="O43" s="77">
        <f t="shared" ca="1" si="35"/>
        <v>56.469942209631725</v>
      </c>
      <c r="P43" s="77">
        <f t="shared" ca="1" si="36"/>
        <v>70.239216349541934</v>
      </c>
    </row>
    <row r="44" spans="1:16" ht="21.75" customHeight="1" x14ac:dyDescent="0.45">
      <c r="A44" s="79"/>
      <c r="B44" s="80"/>
      <c r="C44" s="81" t="s">
        <v>16</v>
      </c>
      <c r="D44" s="552" t="s">
        <v>20</v>
      </c>
      <c r="E44" s="553"/>
      <c r="F44" s="55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788100</v>
      </c>
      <c r="M45" s="533">
        <f ca="1">IFERROR(__xludf.DUMMYFUNCTION("IMPORTRANGE(""https://docs.google.com/spreadsheets/d/1Yj_ptqi66GCucihVvJfMjLAmec39IyEx_6qawtMGysU/edit?usp=sharing"",""สบก!Q51"")"),615100)</f>
        <v>615100</v>
      </c>
      <c r="N45" s="533">
        <f ca="1">IFERROR(__xludf.DUMMYFUNCTION("IMPORTRANGE(""https://docs.google.com/spreadsheets/d/1Yj_ptqi66GCucihVvJfMjLAmec39IyEx_6qawtMGysU/edit?usp=sharing"",""สบก!R51"")"),403947.24)</f>
        <v>403947.24</v>
      </c>
      <c r="O45" s="534">
        <f ca="1">IF(L45&gt;0,N45*100/L45,0)</f>
        <v>51.255835553863726</v>
      </c>
      <c r="P45" s="534">
        <f ca="1">IF(M45&gt;0,N45*100/M45,0)</f>
        <v>65.671799707364656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533">
        <f ca="1">IFERROR(__xludf.DUMMYFUNCTION("IMPORTRANGE(""https://docs.google.com/spreadsheets/d/1Yj_ptqi66GCucihVvJfMjLAmec39IyEx_6qawtMGysU/edit?usp=sharing"",""สบก!M51"")"),788100)</f>
        <v>788100</v>
      </c>
      <c r="M46" s="535"/>
      <c r="N46" s="38"/>
      <c r="O46" s="534"/>
      <c r="P46" s="534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533">
        <f ca="1">IFERROR(__xludf.DUMMYFUNCTION("IMPORTRANGE(""https://docs.google.com/spreadsheets/d/1Yj_ptqi66GCucihVvJfMjLAmec39IyEx_6qawtMGysU/edit?usp=sharing"",""สบก!N51"")"),0)</f>
        <v>0</v>
      </c>
      <c r="M47" s="535"/>
      <c r="N47" s="38"/>
      <c r="O47" s="534"/>
      <c r="P47" s="534"/>
    </row>
    <row r="48" spans="1:16" ht="21.75" customHeight="1" x14ac:dyDescent="0.45">
      <c r="A48" s="79"/>
      <c r="B48" s="80"/>
      <c r="C48" s="81" t="s">
        <v>16</v>
      </c>
      <c r="D48" s="552" t="s">
        <v>23</v>
      </c>
      <c r="E48" s="55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535"/>
      <c r="N48" s="41"/>
      <c r="O48" s="535"/>
      <c r="P48" s="535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33">
        <f ca="1">IFERROR(__xludf.DUMMYFUNCTION("IMPORTRANGE(""https://docs.google.com/spreadsheets/d/1Yj_ptqi66GCucihVvJfMjLAmec39IyEx_6qawtMGysU/edit?usp=sharing"",""สบก!O51"")"),94400)</f>
        <v>94400</v>
      </c>
      <c r="M49" s="536">
        <f ca="1">L49</f>
        <v>94400</v>
      </c>
      <c r="N49" s="533">
        <f ca="1">IFERROR(__xludf.DUMMYFUNCTION("IMPORTRANGE(""https://docs.google.com/spreadsheets/d/1Yj_ptqi66GCucihVvJfMjLAmec39IyEx_6qawtMGysU/edit?usp=sharing"",""สบก!S51"")"),94400)</f>
        <v>94400</v>
      </c>
      <c r="O49" s="536">
        <f ca="1">IF(L49&gt;0,N49*100/L49,0)</f>
        <v>100</v>
      </c>
      <c r="P49" s="536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76" t="s">
        <v>32</v>
      </c>
      <c r="C52" s="553"/>
      <c r="D52" s="553"/>
      <c r="E52" s="553"/>
      <c r="F52" s="553"/>
      <c r="G52" s="55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77" t="s">
        <v>17</v>
      </c>
      <c r="E53" s="553"/>
      <c r="F53" s="553"/>
      <c r="G53" s="553"/>
      <c r="H53" s="118" t="s">
        <v>12</v>
      </c>
      <c r="I53" s="119"/>
      <c r="J53" s="119"/>
      <c r="K53" s="120"/>
      <c r="L53" s="121">
        <f t="shared" ref="L53:N53" ca="1" si="39">L54+L55</f>
        <v>772800</v>
      </c>
      <c r="M53" s="121">
        <f t="shared" ca="1" si="39"/>
        <v>586990</v>
      </c>
      <c r="N53" s="121">
        <f t="shared" ca="1" si="39"/>
        <v>451168.33</v>
      </c>
      <c r="O53" s="120">
        <f t="shared" ref="O53:O55" ca="1" si="40">IF(L53&gt;0,N53*100/L53,0)</f>
        <v>58.380995082815737</v>
      </c>
      <c r="P53" s="120">
        <f t="shared" ref="P53:P55" ca="1" si="41">IF(M53&gt;0,N53*100/M53,0)</f>
        <v>76.861331538867788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772800</v>
      </c>
      <c r="M55" s="121">
        <f t="shared" ca="1" si="43"/>
        <v>586990</v>
      </c>
      <c r="N55" s="121">
        <f t="shared" ca="1" si="43"/>
        <v>451168.33</v>
      </c>
      <c r="O55" s="120">
        <f t="shared" ca="1" si="40"/>
        <v>58.380995082815737</v>
      </c>
      <c r="P55" s="120">
        <f t="shared" ca="1" si="41"/>
        <v>76.861331538867788</v>
      </c>
    </row>
    <row r="56" spans="1:16" ht="21.75" customHeight="1" x14ac:dyDescent="0.45">
      <c r="A56" s="79"/>
      <c r="B56" s="80"/>
      <c r="C56" s="81" t="s">
        <v>16</v>
      </c>
      <c r="D56" s="552" t="s">
        <v>20</v>
      </c>
      <c r="E56" s="553"/>
      <c r="F56" s="55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772800</v>
      </c>
      <c r="M57" s="533">
        <f ca="1">IFERROR(__xludf.DUMMYFUNCTION("IMPORTRANGE(""https://docs.google.com/spreadsheets/d/1Yj_ptqi66GCucihVvJfMjLAmec39IyEx_6qawtMGysU/edit?usp=sharing"",""สบก!Z51"")"),586990)</f>
        <v>586990</v>
      </c>
      <c r="N57" s="533">
        <f ca="1">IFERROR(__xludf.DUMMYFUNCTION("IMPORTRANGE(""https://docs.google.com/spreadsheets/d/1Yj_ptqi66GCucihVvJfMjLAmec39IyEx_6qawtMGysU/edit?usp=sharing"",""สบก!AA51"")"),451168.33)</f>
        <v>451168.33</v>
      </c>
      <c r="O57" s="534">
        <f ca="1">IF(L57&gt;0,N57*100/L57,0)</f>
        <v>58.380995082815737</v>
      </c>
      <c r="P57" s="534">
        <f ca="1">IF(M57&gt;0,N57*100/M57,0)</f>
        <v>76.861331538867788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533">
        <f ca="1">IFERROR(__xludf.DUMMYFUNCTION("IMPORTRANGE(""https://docs.google.com/spreadsheets/d/1Yj_ptqi66GCucihVvJfMjLAmec39IyEx_6qawtMGysU/edit?usp=sharing"",""สบก!V51"")"),772800)</f>
        <v>772800</v>
      </c>
      <c r="M58" s="535"/>
      <c r="N58" s="38"/>
      <c r="O58" s="534"/>
      <c r="P58" s="534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533">
        <f ca="1">IFERROR(__xludf.DUMMYFUNCTION("IMPORTRANGE(""https://docs.google.com/spreadsheets/d/1Yj_ptqi66GCucihVvJfMjLAmec39IyEx_6qawtMGysU/edit?usp=sharing"",""สบก!W51"")"),0)</f>
        <v>0</v>
      </c>
      <c r="M59" s="535"/>
      <c r="N59" s="38"/>
      <c r="O59" s="534"/>
      <c r="P59" s="534"/>
    </row>
    <row r="60" spans="1:16" ht="21.75" customHeight="1" x14ac:dyDescent="0.45">
      <c r="A60" s="79"/>
      <c r="B60" s="80"/>
      <c r="C60" s="81" t="s">
        <v>16</v>
      </c>
      <c r="D60" s="552" t="s">
        <v>23</v>
      </c>
      <c r="E60" s="55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535"/>
      <c r="N60" s="41"/>
      <c r="O60" s="535"/>
      <c r="P60" s="535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33">
        <f ca="1">IFERROR(__xludf.DUMMYFUNCTION("IMPORTRANGE(""https://docs.google.com/spreadsheets/d/1Yj_ptqi66GCucihVvJfMjLAmec39IyEx_6qawtMGysU/edit?usp=sharing"",""สบก!X51"")"),0)</f>
        <v>0</v>
      </c>
      <c r="M61" s="536"/>
      <c r="N61" s="533">
        <f ca="1">IFERROR(__xludf.DUMMYFUNCTION("IMPORTRANGE(""https://docs.google.com/spreadsheets/d/1Yj_ptqi66GCucihVvJfMjLAmec39IyEx_6qawtMGysU/edit?usp=sharing"",""สบก!AB51"")"),0)</f>
        <v>0</v>
      </c>
      <c r="O61" s="536">
        <f ca="1">IF(L61&gt;0,N61*100/L61,0)</f>
        <v>0</v>
      </c>
      <c r="P61" s="536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IFERROR(__xludf.DUMMYFUNCTION("IMPORTRANGE(""https://docs.google.com/spreadsheets/d/1XL5vhW3sbDhbH9Cz0tuDiY8C3ctxq1tqvaCgkFb8cCA/edit?usp=sharing"",""สกลนคร!I9"")"),1)</f>
        <v>1</v>
      </c>
      <c r="J64" s="142">
        <f ca="1">IFERROR(__xludf.DUMMYFUNCTION("IMPORTRANGE(""https://docs.google.com/spreadsheets/d/1XL5vhW3sbDhbH9Cz0tuDiY8C3ctxq1tqvaCgkFb8cCA/edit?usp=sharing"",""สกลนคร!J9"")"),1)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IFERROR(__xludf.DUMMYFUNCTION("IMPORTRANGE(""https://docs.google.com/spreadsheets/d/1XL5vhW3sbDhbH9Cz0tuDiY8C3ctxq1tqvaCgkFb8cCA/edit?usp=sharing"",""สกลนคร!I10"")"),30)</f>
        <v>30</v>
      </c>
      <c r="J65" s="142">
        <f ca="1">IFERROR(__xludf.DUMMYFUNCTION("IMPORTRANGE(""https://docs.google.com/spreadsheets/d/1XL5vhW3sbDhbH9Cz0tuDiY8C3ctxq1tqvaCgkFb8cCA/edit?usp=sharing"",""สกลนคร!J10"")"),30)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54" t="s">
        <v>17</v>
      </c>
      <c r="E66" s="555"/>
      <c r="F66" s="555"/>
      <c r="G66" s="555"/>
      <c r="H66" s="149" t="s">
        <v>12</v>
      </c>
      <c r="I66" s="150"/>
      <c r="J66" s="150"/>
      <c r="K66" s="151"/>
      <c r="L66" s="152">
        <f t="shared" ref="L66:N66" ca="1" si="45">L67+L68</f>
        <v>577000</v>
      </c>
      <c r="M66" s="152">
        <f t="shared" ca="1" si="45"/>
        <v>502320</v>
      </c>
      <c r="N66" s="152">
        <f t="shared" ca="1" si="45"/>
        <v>145697.60000000001</v>
      </c>
      <c r="O66" s="151">
        <f t="shared" ref="O66:O68" ca="1" si="46">IF(L66&gt;0,N66*100/L66,0)</f>
        <v>25.250883882149047</v>
      </c>
      <c r="P66" s="151">
        <f t="shared" ref="P66:P68" ca="1" si="47">IF(M66&gt;0,N66*100/M66,0)</f>
        <v>29.004937091893613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577000</v>
      </c>
      <c r="M68" s="157">
        <f t="shared" ca="1" si="49"/>
        <v>502320</v>
      </c>
      <c r="N68" s="157">
        <f t="shared" ca="1" si="49"/>
        <v>145697.60000000001</v>
      </c>
      <c r="O68" s="156">
        <f t="shared" ca="1" si="46"/>
        <v>25.250883882149047</v>
      </c>
      <c r="P68" s="156">
        <f t="shared" ca="1" si="47"/>
        <v>29.004937091893613</v>
      </c>
    </row>
    <row r="69" spans="1:16" ht="21.75" customHeight="1" x14ac:dyDescent="0.45">
      <c r="A69" s="158"/>
      <c r="B69" s="159"/>
      <c r="C69" s="159" t="s">
        <v>16</v>
      </c>
      <c r="D69" s="552" t="s">
        <v>20</v>
      </c>
      <c r="E69" s="553"/>
      <c r="F69" s="55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577000</v>
      </c>
      <c r="M70" s="537">
        <f ca="1">IFERROR(__xludf.DUMMYFUNCTION("IMPORTRANGE(""https://docs.google.com/spreadsheets/d/1Yj_ptqi66GCucihVvJfMjLAmec39IyEx_6qawtMGysU/edit?usp=sharing"",""สบก!AI51"")"),502320)</f>
        <v>502320</v>
      </c>
      <c r="N70" s="538">
        <f ca="1">IFERROR(__xludf.DUMMYFUNCTION("IMPORTRANGE(""https://docs.google.com/spreadsheets/d/1Yj_ptqi66GCucihVvJfMjLAmec39IyEx_6qawtMGysU/edit?usp=sharing"",""สบก!AJ51"")"),145697.6)</f>
        <v>145697.60000000001</v>
      </c>
      <c r="O70" s="169">
        <f ca="1">IF(L70&gt;0,N70*100/L70,0)</f>
        <v>25.250883882149047</v>
      </c>
      <c r="P70" s="169">
        <f ca="1">IF(M70&gt;0,N70*100/M70,0)</f>
        <v>29.004937091893613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537">
        <f ca="1">IFERROR(__xludf.DUMMYFUNCTION("IMPORTRANGE(""https://docs.google.com/spreadsheets/d/1Yj_ptqi66GCucihVvJfMjLAmec39IyEx_6qawtMGysU/edit?usp=sharing"",""สบก!AE51"")"),205000)</f>
        <v>205000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537">
        <f ca="1">IFERROR(__xludf.DUMMYFUNCTION("IMPORTRANGE(""https://docs.google.com/spreadsheets/d/1Yj_ptqi66GCucihVvJfMjLAmec39IyEx_6qawtMGysU/edit?usp=sharing"",""สบก!AF51"")"),372000)</f>
        <v>372000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52" t="s">
        <v>23</v>
      </c>
      <c r="E73" s="553"/>
      <c r="F73" s="89"/>
      <c r="G73" s="82" t="s">
        <v>18</v>
      </c>
      <c r="H73" s="172" t="s">
        <v>12</v>
      </c>
      <c r="I73" s="84"/>
      <c r="J73" s="84"/>
      <c r="K73" s="85"/>
      <c r="L73" s="535">
        <v>0</v>
      </c>
      <c r="M73" s="535"/>
      <c r="N73" s="41"/>
      <c r="O73" s="535"/>
      <c r="P73" s="535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533">
        <f ca="1">IFERROR(__xludf.DUMMYFUNCTION("IMPORTRANGE(""https://docs.google.com/spreadsheets/d/1Yj_ptqi66GCucihVvJfMjLAmec39IyEx_6qawtMGysU/edit?usp=sharing"",""สบก!AG51"")"),0)</f>
        <v>0</v>
      </c>
      <c r="M74" s="536"/>
      <c r="N74" s="533">
        <f ca="1">IFERROR(__xludf.DUMMYFUNCTION("IMPORTRANGE(""https://docs.google.com/spreadsheets/d/1Yj_ptqi66GCucihVvJfMjLAmec39IyEx_6qawtMGysU/edit?usp=sharing"",""สบก!AK51"")"),0)</f>
        <v>0</v>
      </c>
      <c r="O74" s="536">
        <f ca="1">IF(L74&gt;0,N74*100/L74,0)</f>
        <v>0</v>
      </c>
      <c r="P74" s="536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IFERROR(__xludf.DUMMYFUNCTION("IMPORTRANGE(""https://docs.google.com/spreadsheets/d/1XL5vhW3sbDhbH9Cz0tuDiY8C3ctxq1tqvaCgkFb8cCA/edit?usp=sharing"",""สกลนคร!J16"")"),0)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IFERROR(__xludf.DUMMYFUNCTION("IMPORTRANGE(""https://docs.google.com/spreadsheets/d/1XL5vhW3sbDhbH9Cz0tuDiY8C3ctxq1tqvaCgkFb8cCA/edit?usp=sharing"",""สกลนคร!J17"")"),1)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IFERROR(__xludf.DUMMYFUNCTION("IMPORTRANGE(""https://docs.google.com/spreadsheets/d/1XL5vhW3sbDhbH9Cz0tuDiY8C3ctxq1tqvaCgkFb8cCA/edit?usp=sharing"",""สกลนคร!J18"")"),1)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IFERROR(__xludf.DUMMYFUNCTION("IMPORTRANGE(""https://docs.google.com/spreadsheets/d/1XL5vhW3sbDhbH9Cz0tuDiY8C3ctxq1tqvaCgkFb8cCA/edit?usp=sharing"",""สกลนคร!J19"")"),1)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IFERROR(__xludf.DUMMYFUNCTION("IMPORTRANGE(""https://docs.google.com/spreadsheets/d/1XL5vhW3sbDhbH9Cz0tuDiY8C3ctxq1tqvaCgkFb8cCA/edit?usp=sharing"",""สกลนคร!I20"")"),1)</f>
        <v>1</v>
      </c>
      <c r="J80" s="201">
        <f ca="1">IFERROR(__xludf.DUMMYFUNCTION("IMPORTRANGE(""https://docs.google.com/spreadsheets/d/1XL5vhW3sbDhbH9Cz0tuDiY8C3ctxq1tqvaCgkFb8cCA/edit?usp=sharing"",""สกลนคร!J20"")"),1)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IFERROR(__xludf.DUMMYFUNCTION("IMPORTRANGE(""https://docs.google.com/spreadsheets/d/1XL5vhW3sbDhbH9Cz0tuDiY8C3ctxq1tqvaCgkFb8cCA/edit?usp=sharing"",""สกลนคร!I21"")"),30)</f>
        <v>30</v>
      </c>
      <c r="J81" s="201">
        <f ca="1">IFERROR(__xludf.DUMMYFUNCTION("IMPORTRANGE(""https://docs.google.com/spreadsheets/d/1XL5vhW3sbDhbH9Cz0tuDiY8C3ctxq1tqvaCgkFb8cCA/edit?usp=sharing"",""สกลนคร!J21"")"),30)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IFERROR(__xludf.DUMMYFUNCTION("IMPORTRANGE(""https://docs.google.com/spreadsheets/d/1XL5vhW3sbDhbH9Cz0tuDiY8C3ctxq1tqvaCgkFb8cCA/edit?usp=sharing"",""สกลนคร!I22"")"),0)</f>
        <v>0</v>
      </c>
      <c r="J82" s="204">
        <f ca="1">IFERROR(__xludf.DUMMYFUNCTION("IMPORTRANGE(""https://docs.google.com/spreadsheets/d/1XL5vhW3sbDhbH9Cz0tuDiY8C3ctxq1tqvaCgkFb8cCA/edit?usp=sharing"",""สกลนคร!J22"")"),0)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IFERROR(__xludf.DUMMYFUNCTION("IMPORTRANGE(""https://docs.google.com/spreadsheets/d/1XL5vhW3sbDhbH9Cz0tuDiY8C3ctxq1tqvaCgkFb8cCA/edit?usp=sharing"",""สกลนคร!I23"")"),0)</f>
        <v>0</v>
      </c>
      <c r="J83" s="204">
        <f ca="1">IFERROR(__xludf.DUMMYFUNCTION("IMPORTRANGE(""https://docs.google.com/spreadsheets/d/1XL5vhW3sbDhbH9Cz0tuDiY8C3ctxq1tqvaCgkFb8cCA/edit?usp=sharing"",""สกลนคร!J23"")"),0)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IFERROR(__xludf.DUMMYFUNCTION("IMPORTRANGE(""https://docs.google.com/spreadsheets/d/1XL5vhW3sbDhbH9Cz0tuDiY8C3ctxq1tqvaCgkFb8cCA/edit?usp=sharing"",""สกลนคร!I24"")"),1)</f>
        <v>1</v>
      </c>
      <c r="J84" s="189">
        <f ca="1">IFERROR(__xludf.DUMMYFUNCTION("IMPORTRANGE(""https://docs.google.com/spreadsheets/d/1XL5vhW3sbDhbH9Cz0tuDiY8C3ctxq1tqvaCgkFb8cCA/edit?usp=sharing"",""สกลนคร!J24"")"),1)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IFERROR(__xludf.DUMMYFUNCTION("IMPORTRANGE(""https://docs.google.com/spreadsheets/d/1XL5vhW3sbDhbH9Cz0tuDiY8C3ctxq1tqvaCgkFb8cCA/edit?usp=sharing"",""สกลนคร!I25"")"),30)</f>
        <v>30</v>
      </c>
      <c r="J85" s="189">
        <f ca="1">IFERROR(__xludf.DUMMYFUNCTION("IMPORTRANGE(""https://docs.google.com/spreadsheets/d/1XL5vhW3sbDhbH9Cz0tuDiY8C3ctxq1tqvaCgkFb8cCA/edit?usp=sharing"",""สกลนคร!J25"")"),30)</f>
        <v>30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IFERROR(__xludf.DUMMYFUNCTION("IMPORTRANGE(""https://docs.google.com/spreadsheets/d/1XL5vhW3sbDhbH9Cz0tuDiY8C3ctxq1tqvaCgkFb8cCA/edit?usp=sharing"",""สกลนคร!I26"")"),0)</f>
        <v>0</v>
      </c>
      <c r="J86" s="204">
        <f ca="1">IFERROR(__xludf.DUMMYFUNCTION("IMPORTRANGE(""https://docs.google.com/spreadsheets/d/1XL5vhW3sbDhbH9Cz0tuDiY8C3ctxq1tqvaCgkFb8cCA/edit?usp=sharing"",""สกลนคร!J26"")"),0)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IFERROR(__xludf.DUMMYFUNCTION("IMPORTRANGE(""https://docs.google.com/spreadsheets/d/1XL5vhW3sbDhbH9Cz0tuDiY8C3ctxq1tqvaCgkFb8cCA/edit?usp=sharing"",""สกลนคร!I27"")"),0)</f>
        <v>0</v>
      </c>
      <c r="J87" s="204">
        <f ca="1">IFERROR(__xludf.DUMMYFUNCTION("IMPORTRANGE(""https://docs.google.com/spreadsheets/d/1XL5vhW3sbDhbH9Cz0tuDiY8C3ctxq1tqvaCgkFb8cCA/edit?usp=sharing"",""สกลนคร!J27"")"),0)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IFERROR(__xludf.DUMMYFUNCTION("IMPORTRANGE(""https://docs.google.com/spreadsheets/d/1XL5vhW3sbDhbH9Cz0tuDiY8C3ctxq1tqvaCgkFb8cCA/edit?usp=sharing"",""สกลนคร!I28"")"),0)</f>
        <v>0</v>
      </c>
      <c r="J88" s="204">
        <f ca="1">IFERROR(__xludf.DUMMYFUNCTION("IMPORTRANGE(""https://docs.google.com/spreadsheets/d/1XL5vhW3sbDhbH9Cz0tuDiY8C3ctxq1tqvaCgkFb8cCA/edit?usp=sharing"",""สกลนคร!J28"")"),0)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IFERROR(__xludf.DUMMYFUNCTION("IMPORTRANGE(""https://docs.google.com/spreadsheets/d/1XL5vhW3sbDhbH9Cz0tuDiY8C3ctxq1tqvaCgkFb8cCA/edit?usp=sharing"",""สกลนคร!J29"")"),0)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IFERROR(__xludf.DUMMYFUNCTION("IMPORTRANGE(""https://docs.google.com/spreadsheets/d/1XL5vhW3sbDhbH9Cz0tuDiY8C3ctxq1tqvaCgkFb8cCA/edit?usp=sharing"",""สกลนคร!J30"")"),0)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IFERROR(__xludf.DUMMYFUNCTION("IMPORTRANGE(""https://docs.google.com/spreadsheets/d/1XL5vhW3sbDhbH9Cz0tuDiY8C3ctxq1tqvaCgkFb8cCA/edit?usp=sharing"",""สกลนคร!I32"")"),4)</f>
        <v>4</v>
      </c>
      <c r="J92" s="142">
        <f ca="1">IFERROR(__xludf.DUMMYFUNCTION("IMPORTRANGE(""https://docs.google.com/spreadsheets/d/1XL5vhW3sbDhbH9Cz0tuDiY8C3ctxq1tqvaCgkFb8cCA/edit?usp=sharing"",""สกลนคร!J32"")"),4)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IFERROR(__xludf.DUMMYFUNCTION("IMPORTRANGE(""https://docs.google.com/spreadsheets/d/1XL5vhW3sbDhbH9Cz0tuDiY8C3ctxq1tqvaCgkFb8cCA/edit?usp=sharing"",""สกลนคร!I33"")"),1)</f>
        <v>1</v>
      </c>
      <c r="J93" s="142">
        <f ca="1">IFERROR(__xludf.DUMMYFUNCTION("IMPORTRANGE(""https://docs.google.com/spreadsheets/d/1XL5vhW3sbDhbH9Cz0tuDiY8C3ctxq1tqvaCgkFb8cCA/edit?usp=sharing"",""สกลนคร!J33"")"),1)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54" t="s">
        <v>17</v>
      </c>
      <c r="E94" s="555"/>
      <c r="F94" s="555"/>
      <c r="G94" s="555"/>
      <c r="H94" s="149" t="s">
        <v>12</v>
      </c>
      <c r="I94" s="162"/>
      <c r="J94" s="162"/>
      <c r="K94" s="163"/>
      <c r="L94" s="152">
        <f t="shared" ref="L94:N94" ca="1" si="52">L95+L96</f>
        <v>214100</v>
      </c>
      <c r="M94" s="152">
        <f t="shared" ca="1" si="52"/>
        <v>214100</v>
      </c>
      <c r="N94" s="152">
        <f t="shared" ca="1" si="52"/>
        <v>134490</v>
      </c>
      <c r="O94" s="151">
        <f t="shared" ref="O94:O96" ca="1" si="53">IF(L94&gt;0,N94*100/L94,0)</f>
        <v>62.816440915460063</v>
      </c>
      <c r="P94" s="151">
        <f t="shared" ref="P94:P96" ca="1" si="54">IF(M94&gt;0,N94*100/M94,0)</f>
        <v>62.816440915460063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214100</v>
      </c>
      <c r="M96" s="157">
        <f t="shared" ca="1" si="56"/>
        <v>214100</v>
      </c>
      <c r="N96" s="157">
        <f t="shared" ca="1" si="56"/>
        <v>134490</v>
      </c>
      <c r="O96" s="156">
        <f t="shared" ca="1" si="53"/>
        <v>62.816440915460063</v>
      </c>
      <c r="P96" s="156">
        <f t="shared" ca="1" si="54"/>
        <v>62.816440915460063</v>
      </c>
    </row>
    <row r="97" spans="1:16" ht="21.75" customHeight="1" x14ac:dyDescent="0.45">
      <c r="A97" s="158"/>
      <c r="B97" s="159"/>
      <c r="C97" s="159" t="s">
        <v>16</v>
      </c>
      <c r="D97" s="552" t="s">
        <v>20</v>
      </c>
      <c r="E97" s="553"/>
      <c r="F97" s="55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537">
        <f ca="1">IFERROR(__xludf.DUMMYFUNCTION("IMPORTRANGE(""https://docs.google.com/spreadsheets/d/1Yj_ptqi66GCucihVvJfMjLAmec39IyEx_6qawtMGysU/edit?usp=sharing"",""สบก!AR51"")"),122100)</f>
        <v>122100</v>
      </c>
      <c r="N98" s="538">
        <f ca="1">IFERROR(__xludf.DUMMYFUNCTION("IMPORTRANGE(""https://docs.google.com/spreadsheets/d/1Yj_ptqi66GCucihVvJfMjLAmec39IyEx_6qawtMGysU/edit?usp=sharing"",""สบก!AS51"")"),42490)</f>
        <v>42490</v>
      </c>
      <c r="O98" s="169">
        <f ca="1">IF(L98&gt;0,N98*100/L98,0)</f>
        <v>34.799344799344802</v>
      </c>
      <c r="P98" s="169">
        <f ca="1">IF(M98&gt;0,N98*100/M98,0)</f>
        <v>34.799344799344802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537">
        <f ca="1">IFERROR(__xludf.DUMMYFUNCTION("IMPORTRANGE(""https://docs.google.com/spreadsheets/d/1Yj_ptqi66GCucihVvJfMjLAmec39IyEx_6qawtMGysU/edit?usp=sharing"",""สบก!AN51"")"),0)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537">
        <f ca="1">IFERROR(__xludf.DUMMYFUNCTION("IMPORTRANGE(""https://docs.google.com/spreadsheets/d/1Yj_ptqi66GCucihVvJfMjLAmec39IyEx_6qawtMGysU/edit?usp=sharing"",""สบก!AO51"")"),122100)</f>
        <v>122100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52" t="s">
        <v>23</v>
      </c>
      <c r="E101" s="553"/>
      <c r="F101" s="89"/>
      <c r="G101" s="82" t="s">
        <v>18</v>
      </c>
      <c r="H101" s="172" t="s">
        <v>12</v>
      </c>
      <c r="I101" s="188"/>
      <c r="J101" s="188"/>
      <c r="K101" s="224"/>
      <c r="L101" s="535">
        <v>0</v>
      </c>
      <c r="M101" s="535"/>
      <c r="N101" s="41"/>
      <c r="O101" s="535"/>
      <c r="P101" s="535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533">
        <f ca="1">IFERROR(__xludf.DUMMYFUNCTION("IMPORTRANGE(""https://docs.google.com/spreadsheets/d/1Yj_ptqi66GCucihVvJfMjLAmec39IyEx_6qawtMGysU/edit?usp=sharing"",""สบก!AP51"")"),92000)</f>
        <v>92000</v>
      </c>
      <c r="M102" s="536">
        <f ca="1">L102</f>
        <v>92000</v>
      </c>
      <c r="N102" s="533">
        <f ca="1">IFERROR(__xludf.DUMMYFUNCTION("IMPORTRANGE(""https://docs.google.com/spreadsheets/d/1Yj_ptqi66GCucihVvJfMjLAmec39IyEx_6qawtMGysU/edit?usp=sharing"",""สบก!AT51"")"),92000)</f>
        <v>92000</v>
      </c>
      <c r="O102" s="536">
        <f ca="1">IF(L102&gt;0,N102*100/L102,0)</f>
        <v>100</v>
      </c>
      <c r="P102" s="536">
        <f ca="1">IF(M102&gt;0,N102*100/M102,0)</f>
        <v>100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IFERROR(__xludf.DUMMYFUNCTION("IMPORTRANGE(""https://docs.google.com/spreadsheets/d/1XL5vhW3sbDhbH9Cz0tuDiY8C3ctxq1tqvaCgkFb8cCA/edit?usp=sharing"",""สกลนคร!J39"")"),0)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IFERROR(__xludf.DUMMYFUNCTION("IMPORTRANGE(""https://docs.google.com/spreadsheets/d/1XL5vhW3sbDhbH9Cz0tuDiY8C3ctxq1tqvaCgkFb8cCA/edit?usp=sharing"",""สกลนคร!J40"")"),1)</f>
        <v>1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IFERROR(__xludf.DUMMYFUNCTION("IMPORTRANGE(""https://docs.google.com/spreadsheets/d/1XL5vhW3sbDhbH9Cz0tuDiY8C3ctxq1tqvaCgkFb8cCA/edit?usp=sharing"",""สกลนคร!J41"")"),1)</f>
        <v>1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IFERROR(__xludf.DUMMYFUNCTION("IMPORTRANGE(""https://docs.google.com/spreadsheets/d/1XL5vhW3sbDhbH9Cz0tuDiY8C3ctxq1tqvaCgkFb8cCA/edit?usp=sharing"",""สกลนคร!J42"")"),1)</f>
        <v>1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IFERROR(__xludf.DUMMYFUNCTION("IMPORTRANGE(""https://docs.google.com/spreadsheets/d/1XL5vhW3sbDhbH9Cz0tuDiY8C3ctxq1tqvaCgkFb8cCA/edit?usp=sharing"",""สกลนคร!I43"")"),1)</f>
        <v>1</v>
      </c>
      <c r="J108" s="204">
        <f ca="1">IFERROR(__xludf.DUMMYFUNCTION("IMPORTRANGE(""https://docs.google.com/spreadsheets/d/1XL5vhW3sbDhbH9Cz0tuDiY8C3ctxq1tqvaCgkFb8cCA/edit?usp=sharing"",""สกลนคร!J43"")"),1)</f>
        <v>1</v>
      </c>
      <c r="K108" s="224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IFERROR(__xludf.DUMMYFUNCTION("IMPORTRANGE(""https://docs.google.com/spreadsheets/d/1XL5vhW3sbDhbH9Cz0tuDiY8C3ctxq1tqvaCgkFb8cCA/edit?usp=sharing"",""สกลนคร!I44"")"),4)</f>
        <v>4</v>
      </c>
      <c r="J109" s="204">
        <f ca="1">IFERROR(__xludf.DUMMYFUNCTION("IMPORTRANGE(""https://docs.google.com/spreadsheets/d/1XL5vhW3sbDhbH9Cz0tuDiY8C3ctxq1tqvaCgkFb8cCA/edit?usp=sharing"",""สกลนคร!J44"")"),4)</f>
        <v>4</v>
      </c>
      <c r="K109" s="224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IFERROR(__xludf.DUMMYFUNCTION("IMPORTRANGE(""https://docs.google.com/spreadsheets/d/1XL5vhW3sbDhbH9Cz0tuDiY8C3ctxq1tqvaCgkFb8cCA/edit?usp=sharing"",""สกลนคร!I45"")"),4)</f>
        <v>4</v>
      </c>
      <c r="J110" s="204">
        <f ca="1">IFERROR(__xludf.DUMMYFUNCTION("IMPORTRANGE(""https://docs.google.com/spreadsheets/d/1XL5vhW3sbDhbH9Cz0tuDiY8C3ctxq1tqvaCgkFb8cCA/edit?usp=sharing"",""สกลนคร!J45"")"),4)</f>
        <v>4</v>
      </c>
      <c r="K110" s="224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IFERROR(__xludf.DUMMYFUNCTION("IMPORTRANGE(""https://docs.google.com/spreadsheets/d/1XL5vhW3sbDhbH9Cz0tuDiY8C3ctxq1tqvaCgkFb8cCA/edit?usp=sharing"",""สกลนคร!I46"")"),4)</f>
        <v>4</v>
      </c>
      <c r="J111" s="204">
        <f ca="1">IFERROR(__xludf.DUMMYFUNCTION("IMPORTRANGE(""https://docs.google.com/spreadsheets/d/1XL5vhW3sbDhbH9Cz0tuDiY8C3ctxq1tqvaCgkFb8cCA/edit?usp=sharing"",""สกลนคร!J46"")"),4)</f>
        <v>4</v>
      </c>
      <c r="K111" s="224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IFERROR(__xludf.DUMMYFUNCTION("IMPORTRANGE(""https://docs.google.com/spreadsheets/d/1XL5vhW3sbDhbH9Cz0tuDiY8C3ctxq1tqvaCgkFb8cCA/edit?usp=sharing"",""สกลนคร!I47"")"),4)</f>
        <v>4</v>
      </c>
      <c r="J112" s="204">
        <f ca="1">IFERROR(__xludf.DUMMYFUNCTION("IMPORTRANGE(""https://docs.google.com/spreadsheets/d/1XL5vhW3sbDhbH9Cz0tuDiY8C3ctxq1tqvaCgkFb8cCA/edit?usp=sharing"",""สกลนคร!J47"")"),4)</f>
        <v>4</v>
      </c>
      <c r="K112" s="224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IFERROR(__xludf.DUMMYFUNCTION("IMPORTRANGE(""https://docs.google.com/spreadsheets/d/1XL5vhW3sbDhbH9Cz0tuDiY8C3ctxq1tqvaCgkFb8cCA/edit?usp=sharing"",""สกลนคร!I48"")"),1)</f>
        <v>1</v>
      </c>
      <c r="J113" s="204">
        <f ca="1">IFERROR(__xludf.DUMMYFUNCTION("IMPORTRANGE(""https://docs.google.com/spreadsheets/d/1XL5vhW3sbDhbH9Cz0tuDiY8C3ctxq1tqvaCgkFb8cCA/edit?usp=sharing"",""สกลนคร!J48"")"),1)</f>
        <v>1</v>
      </c>
      <c r="K113" s="224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IFERROR(__xludf.DUMMYFUNCTION("IMPORTRANGE(""https://docs.google.com/spreadsheets/d/1XL5vhW3sbDhbH9Cz0tuDiY8C3ctxq1tqvaCgkFb8cCA/edit?usp=sharing"",""สกลนคร!J49"")"),0)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IFERROR(__xludf.DUMMYFUNCTION("IMPORTRANGE(""https://docs.google.com/spreadsheets/d/1XL5vhW3sbDhbH9Cz0tuDiY8C3ctxq1tqvaCgkFb8cCA/edit?usp=sharing"",""สกลนคร!J50"")"),0)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IFERROR(__xludf.DUMMYFUNCTION("IMPORTRANGE(""https://docs.google.com/spreadsheets/d/1XL5vhW3sbDhbH9Cz0tuDiY8C3ctxq1tqvaCgkFb8cCA/edit?usp=sharing"",""สกลนคร!I52"")"),0)</f>
        <v>0</v>
      </c>
      <c r="J117" s="142">
        <f ca="1">IFERROR(__xludf.DUMMYFUNCTION("IMPORTRANGE(""https://docs.google.com/spreadsheets/d/1XL5vhW3sbDhbH9Cz0tuDiY8C3ctxq1tqvaCgkFb8cCA/edit?usp=sharing"",""สกลนคร!J52"")"),0)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54" t="s">
        <v>17</v>
      </c>
      <c r="E118" s="555"/>
      <c r="F118" s="555"/>
      <c r="G118" s="55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52" t="s">
        <v>20</v>
      </c>
      <c r="E121" s="553"/>
      <c r="F121" s="55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537">
        <f ca="1">IFERROR(__xludf.DUMMYFUNCTION("IMPORTRANGE(""https://docs.google.com/spreadsheets/d/1Yj_ptqi66GCucihVvJfMjLAmec39IyEx_6qawtMGysU/edit?usp=sharing"",""สบก!BA51"")"),0)</f>
        <v>0</v>
      </c>
      <c r="N122" s="538">
        <f ca="1">IFERROR(__xludf.DUMMYFUNCTION("IMPORTRANGE(""https://docs.google.com/spreadsheets/d/1Yj_ptqi66GCucihVvJfMjLAmec39IyEx_6qawtMGysU/edit?usp=sharing"",""สบก!BB51"")"),0)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537">
        <f ca="1">IFERROR(__xludf.DUMMYFUNCTION("IMPORTRANGE(""https://docs.google.com/spreadsheets/d/1Yj_ptqi66GCucihVvJfMjLAmec39IyEx_6qawtMGysU/edit?usp=sharing"",""สบก!AW51"")"),0)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537">
        <f ca="1">IFERROR(__xludf.DUMMYFUNCTION("IMPORTRANGE(""https://docs.google.com/spreadsheets/d/1Yj_ptqi66GCucihVvJfMjLAmec39IyEx_6qawtMGysU/edit?usp=sharing"",""สบก!AX51"")"),0)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52" t="s">
        <v>23</v>
      </c>
      <c r="E125" s="553"/>
      <c r="F125" s="89"/>
      <c r="G125" s="82" t="s">
        <v>18</v>
      </c>
      <c r="H125" s="172" t="s">
        <v>12</v>
      </c>
      <c r="I125" s="188"/>
      <c r="J125" s="188"/>
      <c r="K125" s="224"/>
      <c r="L125" s="535">
        <v>0</v>
      </c>
      <c r="M125" s="535"/>
      <c r="N125" s="41"/>
      <c r="O125" s="535"/>
      <c r="P125" s="535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533">
        <f ca="1">IFERROR(__xludf.DUMMYFUNCTION("IMPORTRANGE(""https://docs.google.com/spreadsheets/d/1Yj_ptqi66GCucihVvJfMjLAmec39IyEx_6qawtMGysU/edit?usp=sharing"",""สบก!AY51"")"),0)</f>
        <v>0</v>
      </c>
      <c r="M126" s="536"/>
      <c r="N126" s="533">
        <f ca="1">IFERROR(__xludf.DUMMYFUNCTION("IMPORTRANGE(""https://docs.google.com/spreadsheets/d/1Yj_ptqi66GCucihVvJfMjLAmec39IyEx_6qawtMGysU/edit?usp=sharing"",""สบก!BC51"")"),0)</f>
        <v>0</v>
      </c>
      <c r="O126" s="536">
        <f ca="1">IF(L126&gt;0,N126*100/L126,0)</f>
        <v>0</v>
      </c>
      <c r="P126" s="536"/>
    </row>
    <row r="127" spans="1:16" ht="21.75" customHeight="1" x14ac:dyDescent="0.35">
      <c r="A127" s="176"/>
      <c r="B127" s="177"/>
      <c r="C127" s="159" t="s">
        <v>16</v>
      </c>
      <c r="D127" s="233" t="s">
        <v>265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IFERROR(__xludf.DUMMYFUNCTION("IMPORTRANGE(""https://docs.google.com/spreadsheets/d/1XL5vhW3sbDhbH9Cz0tuDiY8C3ctxq1tqvaCgkFb8cCA/edit?usp=sharing"",""สกลนคร!J58"")"),0)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IFERROR(__xludf.DUMMYFUNCTION("IMPORTRANGE(""https://docs.google.com/spreadsheets/d/1XL5vhW3sbDhbH9Cz0tuDiY8C3ctxq1tqvaCgkFb8cCA/edit?usp=sharing"",""สกลนคร!J59"")"),0)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IFERROR(__xludf.DUMMYFUNCTION("IMPORTRANGE(""https://docs.google.com/spreadsheets/d/1XL5vhW3sbDhbH9Cz0tuDiY8C3ctxq1tqvaCgkFb8cCA/edit?usp=sharing"",""สกลนคร!J60"")"),0)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IFERROR(__xludf.DUMMYFUNCTION("IMPORTRANGE(""https://docs.google.com/spreadsheets/d/1XL5vhW3sbDhbH9Cz0tuDiY8C3ctxq1tqvaCgkFb8cCA/edit?usp=sharing"",""สกลนคร!J61"")"),0)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IFERROR(__xludf.DUMMYFUNCTION("IMPORTRANGE(""https://docs.google.com/spreadsheets/d/1XL5vhW3sbDhbH9Cz0tuDiY8C3ctxq1tqvaCgkFb8cCA/edit?usp=sharing"",""สกลนคร!I62"")"),0)</f>
        <v>0</v>
      </c>
      <c r="J132" s="204">
        <f ca="1">IFERROR(__xludf.DUMMYFUNCTION("IMPORTRANGE(""https://docs.google.com/spreadsheets/d/1XL5vhW3sbDhbH9Cz0tuDiY8C3ctxq1tqvaCgkFb8cCA/edit?usp=sharing"",""สกลนคร!J62"")"),0)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IFERROR(__xludf.DUMMYFUNCTION("IMPORTRANGE(""https://docs.google.com/spreadsheets/d/1XL5vhW3sbDhbH9Cz0tuDiY8C3ctxq1tqvaCgkFb8cCA/edit?usp=sharing"",""สกลนคร!I63"")"),0)</f>
        <v>0</v>
      </c>
      <c r="J133" s="204">
        <f ca="1">IFERROR(__xludf.DUMMYFUNCTION("IMPORTRANGE(""https://docs.google.com/spreadsheets/d/1XL5vhW3sbDhbH9Cz0tuDiY8C3ctxq1tqvaCgkFb8cCA/edit?usp=sharing"",""สกลนคร!J63"")"),0)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IFERROR(__xludf.DUMMYFUNCTION("IMPORTRANGE(""https://docs.google.com/spreadsheets/d/1XL5vhW3sbDhbH9Cz0tuDiY8C3ctxq1tqvaCgkFb8cCA/edit?usp=sharing"",""สกลนคร!J64"")"),0)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IFERROR(__xludf.DUMMYFUNCTION("IMPORTRANGE(""https://docs.google.com/spreadsheets/d/1XL5vhW3sbDhbH9Cz0tuDiY8C3ctxq1tqvaCgkFb8cCA/edit?usp=sharing"",""สกลนคร!J65"")"),0)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IFERROR(__xludf.DUMMYFUNCTION("IMPORTRANGE(""https://docs.google.com/spreadsheets/d/1XL5vhW3sbDhbH9Cz0tuDiY8C3ctxq1tqvaCgkFb8cCA/edit?usp=sharing"",""สกลนคร!I68"")"),50)</f>
        <v>50</v>
      </c>
      <c r="J138" s="267">
        <f ca="1">IFERROR(__xludf.DUMMYFUNCTION("IMPORTRANGE(""https://docs.google.com/spreadsheets/d/1XL5vhW3sbDhbH9Cz0tuDiY8C3ctxq1tqvaCgkFb8cCA/edit?usp=sharing"",""สกลนคร!J68"")"),50)</f>
        <v>50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54" t="s">
        <v>17</v>
      </c>
      <c r="E140" s="555"/>
      <c r="F140" s="555"/>
      <c r="G140" s="555"/>
      <c r="H140" s="149" t="s">
        <v>12</v>
      </c>
      <c r="I140" s="162"/>
      <c r="J140" s="162"/>
      <c r="K140" s="163"/>
      <c r="L140" s="152">
        <f t="shared" ref="L140:N140" ca="1" si="64">L141+L142</f>
        <v>619500</v>
      </c>
      <c r="M140" s="152">
        <f t="shared" ca="1" si="64"/>
        <v>503025</v>
      </c>
      <c r="N140" s="152">
        <f t="shared" ca="1" si="64"/>
        <v>270337.81</v>
      </c>
      <c r="O140" s="151">
        <f t="shared" ref="O140:O142" ca="1" si="65">IF(L140&gt;0,N140*100/L140,0)</f>
        <v>43.638064568200164</v>
      </c>
      <c r="P140" s="151">
        <f t="shared" ref="P140:P142" ca="1" si="66">IF(M140&gt;0,N140*100/M140,0)</f>
        <v>53.742420356841109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619500</v>
      </c>
      <c r="M142" s="157">
        <f t="shared" ca="1" si="68"/>
        <v>503025</v>
      </c>
      <c r="N142" s="157">
        <f t="shared" ca="1" si="68"/>
        <v>270337.81</v>
      </c>
      <c r="O142" s="156">
        <f t="shared" ca="1" si="65"/>
        <v>43.638064568200164</v>
      </c>
      <c r="P142" s="156">
        <f t="shared" ca="1" si="66"/>
        <v>53.742420356841109</v>
      </c>
    </row>
    <row r="143" spans="1:16" ht="21.75" customHeight="1" x14ac:dyDescent="0.45">
      <c r="A143" s="158"/>
      <c r="B143" s="159"/>
      <c r="C143" s="159" t="s">
        <v>16</v>
      </c>
      <c r="D143" s="552" t="s">
        <v>20</v>
      </c>
      <c r="E143" s="553"/>
      <c r="F143" s="55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619500</v>
      </c>
      <c r="M144" s="537">
        <f ca="1">IFERROR(__xludf.DUMMYFUNCTION("IMPORTRANGE(""https://docs.google.com/spreadsheets/d/1Yj_ptqi66GCucihVvJfMjLAmec39IyEx_6qawtMGysU/edit?usp=sharing"",""สบก!BJ51"")"),503025)</f>
        <v>503025</v>
      </c>
      <c r="N144" s="538">
        <f ca="1">IFERROR(__xludf.DUMMYFUNCTION("IMPORTRANGE(""https://docs.google.com/spreadsheets/d/1Yj_ptqi66GCucihVvJfMjLAmec39IyEx_6qawtMGysU/edit?usp=sharing"",""สบก!BK51"")"),270337.81)</f>
        <v>270337.81</v>
      </c>
      <c r="O144" s="169">
        <f ca="1">IF(L144&gt;0,N144*100/L144,0)</f>
        <v>43.638064568200164</v>
      </c>
      <c r="P144" s="169">
        <f ca="1">IF(M144&gt;0,N144*100/M144,0)</f>
        <v>53.742420356841109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537">
        <f ca="1">IFERROR(__xludf.DUMMYFUNCTION("IMPORTRANGE(""https://docs.google.com/spreadsheets/d/1Yj_ptqi66GCucihVvJfMjLAmec39IyEx_6qawtMGysU/edit?usp=sharing"",""สบก!BF51"")"),264000)</f>
        <v>264000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537">
        <f ca="1">IFERROR(__xludf.DUMMYFUNCTION("IMPORTRANGE(""https://docs.google.com/spreadsheets/d/1Yj_ptqi66GCucihVvJfMjLAmec39IyEx_6qawtMGysU/edit?usp=sharing"",""สบก!BG51"")"),355500)</f>
        <v>355500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52" t="s">
        <v>23</v>
      </c>
      <c r="E147" s="553"/>
      <c r="F147" s="89"/>
      <c r="G147" s="82" t="s">
        <v>18</v>
      </c>
      <c r="H147" s="172" t="s">
        <v>12</v>
      </c>
      <c r="I147" s="188"/>
      <c r="J147" s="188"/>
      <c r="K147" s="224"/>
      <c r="L147" s="535">
        <v>0</v>
      </c>
      <c r="M147" s="535"/>
      <c r="N147" s="41"/>
      <c r="O147" s="535"/>
      <c r="P147" s="535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533">
        <f ca="1">IFERROR(__xludf.DUMMYFUNCTION("IMPORTRANGE(""https://docs.google.com/spreadsheets/d/1Yj_ptqi66GCucihVvJfMjLAmec39IyEx_6qawtMGysU/edit?usp=sharing"",""สบก!BH51"")"),0)</f>
        <v>0</v>
      </c>
      <c r="M148" s="536"/>
      <c r="N148" s="533">
        <f ca="1">IFERROR(__xludf.DUMMYFUNCTION("IMPORTRANGE(""https://docs.google.com/spreadsheets/d/1Yj_ptqi66GCucihVvJfMjLAmec39IyEx_6qawtMGysU/edit?usp=sharing"",""สบก!BL51"")"),0)</f>
        <v>0</v>
      </c>
      <c r="O148" s="536">
        <f ca="1">IF(L148&gt;0,N148*100/L148,0)</f>
        <v>0</v>
      </c>
      <c r="P148" s="536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IFERROR(__xludf.DUMMYFUNCTION("IMPORTRANGE(""https://docs.google.com/spreadsheets/d/1XL5vhW3sbDhbH9Cz0tuDiY8C3ctxq1tqvaCgkFb8cCA/edit?usp=sharing"",""สกลนคร!I74"")"),4)</f>
        <v>4</v>
      </c>
      <c r="J149" s="275">
        <f ca="1">IFERROR(__xludf.DUMMYFUNCTION("IMPORTRANGE(""https://docs.google.com/spreadsheets/d/1XL5vhW3sbDhbH9Cz0tuDiY8C3ctxq1tqvaCgkFb8cCA/edit?usp=sharing"",""สกลนคร!J74"")"),2)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IFERROR(__xludf.DUMMYFUNCTION("IMPORTRANGE(""https://docs.google.com/spreadsheets/d/1XL5vhW3sbDhbH9Cz0tuDiY8C3ctxq1tqvaCgkFb8cCA/edit?usp=sharing"",""สกลนคร!J79"")"),0)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IFERROR(__xludf.DUMMYFUNCTION("IMPORTRANGE(""https://docs.google.com/spreadsheets/d/1XL5vhW3sbDhbH9Cz0tuDiY8C3ctxq1tqvaCgkFb8cCA/edit?usp=sharing"",""สกลนคร!J80"")"),1)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IFERROR(__xludf.DUMMYFUNCTION("IMPORTRANGE(""https://docs.google.com/spreadsheets/d/1XL5vhW3sbDhbH9Cz0tuDiY8C3ctxq1tqvaCgkFb8cCA/edit?usp=sharing"",""สกลนคร!J81"")"),1)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IFERROR(__xludf.DUMMYFUNCTION("IMPORTRANGE(""https://docs.google.com/spreadsheets/d/1XL5vhW3sbDhbH9Cz0tuDiY8C3ctxq1tqvaCgkFb8cCA/edit?usp=sharing"",""สกลนคร!J82"")"),1)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IFERROR(__xludf.DUMMYFUNCTION("IMPORTRANGE(""https://docs.google.com/spreadsheets/d/1XL5vhW3sbDhbH9Cz0tuDiY8C3ctxq1tqvaCgkFb8cCA/edit?usp=sharing"",""สกลนคร!I83"")"),4)</f>
        <v>4</v>
      </c>
      <c r="J158" s="189">
        <f ca="1">IFERROR(__xludf.DUMMYFUNCTION("IMPORTRANGE(""https://docs.google.com/spreadsheets/d/1XL5vhW3sbDhbH9Cz0tuDiY8C3ctxq1tqvaCgkFb8cCA/edit?usp=sharing"",""สกลนคร!J83"")"),2)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IFERROR(__xludf.DUMMYFUNCTION("IMPORTRANGE(""https://docs.google.com/spreadsheets/d/1XL5vhW3sbDhbH9Cz0tuDiY8C3ctxq1tqvaCgkFb8cCA/edit?usp=sharing"",""สกลนคร!J84"")"),150)</f>
        <v>150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IFERROR(__xludf.DUMMYFUNCTION("IMPORTRANGE(""https://docs.google.com/spreadsheets/d/1XL5vhW3sbDhbH9Cz0tuDiY8C3ctxq1tqvaCgkFb8cCA/edit?usp=sharing"",""สกลนคร!J85"")"),150)</f>
        <v>150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IFERROR(__xludf.DUMMYFUNCTION("IMPORTRANGE(""https://docs.google.com/spreadsheets/d/1XL5vhW3sbDhbH9Cz0tuDiY8C3ctxq1tqvaCgkFb8cCA/edit?usp=sharing"",""สกลนคร!J86"")"),0)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IFERROR(__xludf.DUMMYFUNCTION("IMPORTRANGE(""https://docs.google.com/spreadsheets/d/1XL5vhW3sbDhbH9Cz0tuDiY8C3ctxq1tqvaCgkFb8cCA/edit?usp=sharing"",""สกลนคร!J87"")"),0)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IFERROR(__xludf.DUMMYFUNCTION("IMPORTRANGE(""https://docs.google.com/spreadsheets/d/1XL5vhW3sbDhbH9Cz0tuDiY8C3ctxq1tqvaCgkFb8cCA/edit?usp=sharing"",""สกลนคร!J88"")"),0)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IFERROR(__xludf.DUMMYFUNCTION("IMPORTRANGE(""https://docs.google.com/spreadsheets/d/1XL5vhW3sbDhbH9Cz0tuDiY8C3ctxq1tqvaCgkFb8cCA/edit?usp=sharing"",""สกลนคร!I89"")"),3)</f>
        <v>3</v>
      </c>
      <c r="J164" s="284">
        <f ca="1">IFERROR(__xludf.DUMMYFUNCTION("IMPORTRANGE(""https://docs.google.com/spreadsheets/d/1XL5vhW3sbDhbH9Cz0tuDiY8C3ctxq1tqvaCgkFb8cCA/edit?usp=sharing"",""สกลนคร!J89"")"),2)</f>
        <v>2</v>
      </c>
      <c r="K164" s="285">
        <f ca="1">IF(I164&gt;0,J164*100/I164,0)</f>
        <v>66.666666666666671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IFERROR(__xludf.DUMMYFUNCTION("IMPORTRANGE(""https://docs.google.com/spreadsheets/d/1XL5vhW3sbDhbH9Cz0tuDiY8C3ctxq1tqvaCgkFb8cCA/edit?usp=sharing"",""สกลนคร!J94"")"),0)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IFERROR(__xludf.DUMMYFUNCTION("IMPORTRANGE(""https://docs.google.com/spreadsheets/d/1XL5vhW3sbDhbH9Cz0tuDiY8C3ctxq1tqvaCgkFb8cCA/edit?usp=sharing"",""สกลนคร!J95"")"),1)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IFERROR(__xludf.DUMMYFUNCTION("IMPORTRANGE(""https://docs.google.com/spreadsheets/d/1XL5vhW3sbDhbH9Cz0tuDiY8C3ctxq1tqvaCgkFb8cCA/edit?usp=sharing"",""สกลนคร!J96"")"),1)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IFERROR(__xludf.DUMMYFUNCTION("IMPORTRANGE(""https://docs.google.com/spreadsheets/d/1XL5vhW3sbDhbH9Cz0tuDiY8C3ctxq1tqvaCgkFb8cCA/edit?usp=sharing"",""สกลนคร!J97"")"),1)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IFERROR(__xludf.DUMMYFUNCTION("IMPORTRANGE(""https://docs.google.com/spreadsheets/d/1XL5vhW3sbDhbH9Cz0tuDiY8C3ctxq1tqvaCgkFb8cCA/edit?usp=sharing"",""สกลนคร!I98"")"),3)</f>
        <v>3</v>
      </c>
      <c r="J173" s="189">
        <f ca="1">IFERROR(__xludf.DUMMYFUNCTION("IMPORTRANGE(""https://docs.google.com/spreadsheets/d/1XL5vhW3sbDhbH9Cz0tuDiY8C3ctxq1tqvaCgkFb8cCA/edit?usp=sharing"",""สกลนคร!J98"")"),2)</f>
        <v>2</v>
      </c>
      <c r="K173" s="163">
        <f ca="1">IF(I173&gt;0,J173*100/I173,0)</f>
        <v>66.666666666666671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IFERROR(__xludf.DUMMYFUNCTION("IMPORTRANGE(""https://docs.google.com/spreadsheets/d/1XL5vhW3sbDhbH9Cz0tuDiY8C3ctxq1tqvaCgkFb8cCA/edit?usp=sharing"",""สกลนคร!J99"")"),0)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IFERROR(__xludf.DUMMYFUNCTION("IMPORTRANGE(""https://docs.google.com/spreadsheets/d/1XL5vhW3sbDhbH9Cz0tuDiY8C3ctxq1tqvaCgkFb8cCA/edit?usp=sharing"",""สกลนคร!J100"")"),0)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IFERROR(__xludf.DUMMYFUNCTION("IMPORTRANGE(""https://docs.google.com/spreadsheets/d/1XL5vhW3sbDhbH9Cz0tuDiY8C3ctxq1tqvaCgkFb8cCA/edit?usp=sharing"",""สกลนคร!I101"")"),0)</f>
        <v>0</v>
      </c>
      <c r="J176" s="284">
        <f ca="1">IFERROR(__xludf.DUMMYFUNCTION("IMPORTRANGE(""https://docs.google.com/spreadsheets/d/1XL5vhW3sbDhbH9Cz0tuDiY8C3ctxq1tqvaCgkFb8cCA/edit?usp=sharing"",""สกลนคร!J101"")"),0)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IFERROR(__xludf.DUMMYFUNCTION("IMPORTRANGE(""https://docs.google.com/spreadsheets/d/1XL5vhW3sbDhbH9Cz0tuDiY8C3ctxq1tqvaCgkFb8cCA/edit?usp=sharing"",""สกลนคร!J106"")"),0)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IFERROR(__xludf.DUMMYFUNCTION("IMPORTRANGE(""https://docs.google.com/spreadsheets/d/1XL5vhW3sbDhbH9Cz0tuDiY8C3ctxq1tqvaCgkFb8cCA/edit?usp=sharing"",""สกลนคร!J107"")"),0)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IFERROR(__xludf.DUMMYFUNCTION("IMPORTRANGE(""https://docs.google.com/spreadsheets/d/1XL5vhW3sbDhbH9Cz0tuDiY8C3ctxq1tqvaCgkFb8cCA/edit?usp=sharing"",""สกลนคร!J108"")"),0)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IFERROR(__xludf.DUMMYFUNCTION("IMPORTRANGE(""https://docs.google.com/spreadsheets/d/1XL5vhW3sbDhbH9Cz0tuDiY8C3ctxq1tqvaCgkFb8cCA/edit?usp=sharing"",""สกลนคร!J109"")"),0)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IFERROR(__xludf.DUMMYFUNCTION("IMPORTRANGE(""https://docs.google.com/spreadsheets/d/1XL5vhW3sbDhbH9Cz0tuDiY8C3ctxq1tqvaCgkFb8cCA/edit?usp=sharing"",""สกลนคร!I110"")"),0)</f>
        <v>0</v>
      </c>
      <c r="J185" s="204">
        <f ca="1">IFERROR(__xludf.DUMMYFUNCTION("IMPORTRANGE(""https://docs.google.com/spreadsheets/d/1XL5vhW3sbDhbH9Cz0tuDiY8C3ctxq1tqvaCgkFb8cCA/edit?usp=sharing"",""สกลนคร!J110"")"),0)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IFERROR(__xludf.DUMMYFUNCTION("IMPORTRANGE(""https://docs.google.com/spreadsheets/d/1XL5vhW3sbDhbH9Cz0tuDiY8C3ctxq1tqvaCgkFb8cCA/edit?usp=sharing"",""สกลนคร!I111"")"),0)</f>
        <v>0</v>
      </c>
      <c r="J186" s="204">
        <f ca="1">IFERROR(__xludf.DUMMYFUNCTION("IMPORTRANGE(""https://docs.google.com/spreadsheets/d/1XL5vhW3sbDhbH9Cz0tuDiY8C3ctxq1tqvaCgkFb8cCA/edit?usp=sharing"",""สกลนคร!J111"")"),0)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IFERROR(__xludf.DUMMYFUNCTION("IMPORTRANGE(""https://docs.google.com/spreadsheets/d/1XL5vhW3sbDhbH9Cz0tuDiY8C3ctxq1tqvaCgkFb8cCA/edit?usp=sharing"",""สกลนคร!J112"")"),0)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IFERROR(__xludf.DUMMYFUNCTION("IMPORTRANGE(""https://docs.google.com/spreadsheets/d/1XL5vhW3sbDhbH9Cz0tuDiY8C3ctxq1tqvaCgkFb8cCA/edit?usp=sharing"",""สกลนคร!J113"")"),0)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IFERROR(__xludf.DUMMYFUNCTION("IMPORTRANGE(""https://docs.google.com/spreadsheets/d/1XL5vhW3sbDhbH9Cz0tuDiY8C3ctxq1tqvaCgkFb8cCA/edit?usp=sharing"",""สกลนคร!I114"")"),12800)</f>
        <v>12800</v>
      </c>
      <c r="J189" s="284">
        <f ca="1">IFERROR(__xludf.DUMMYFUNCTION("IMPORTRANGE(""https://docs.google.com/spreadsheets/d/1XL5vhW3sbDhbH9Cz0tuDiY8C3ctxq1tqvaCgkFb8cCA/edit?usp=sharing"",""สกลนคร!J114"")"),0)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IFERROR(__xludf.DUMMYFUNCTION("IMPORTRANGE(""https://docs.google.com/spreadsheets/d/1XL5vhW3sbDhbH9Cz0tuDiY8C3ctxq1tqvaCgkFb8cCA/edit?usp=sharing"",""สกลนคร!J119"")"),0)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IFERROR(__xludf.DUMMYFUNCTION("IMPORTRANGE(""https://docs.google.com/spreadsheets/d/1XL5vhW3sbDhbH9Cz0tuDiY8C3ctxq1tqvaCgkFb8cCA/edit?usp=sharing"",""สกลนคร!J120"")"),1)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IFERROR(__xludf.DUMMYFUNCTION("IMPORTRANGE(""https://docs.google.com/spreadsheets/d/1XL5vhW3sbDhbH9Cz0tuDiY8C3ctxq1tqvaCgkFb8cCA/edit?usp=sharing"",""สกลนคร!J121"")"),1)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IFERROR(__xludf.DUMMYFUNCTION("IMPORTRANGE(""https://docs.google.com/spreadsheets/d/1XL5vhW3sbDhbH9Cz0tuDiY8C3ctxq1tqvaCgkFb8cCA/edit?usp=sharing"",""สกลนคร!J122"")"),1)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IFERROR(__xludf.DUMMYFUNCTION("IMPORTRANGE(""https://docs.google.com/spreadsheets/d/1XL5vhW3sbDhbH9Cz0tuDiY8C3ctxq1tqvaCgkFb8cCA/edit?usp=sharing"",""สกลนคร!I124"")"),12800)</f>
        <v>12800</v>
      </c>
      <c r="J199" s="189">
        <f ca="1">IFERROR(__xludf.DUMMYFUNCTION("IMPORTRANGE(""https://docs.google.com/spreadsheets/d/1XL5vhW3sbDhbH9Cz0tuDiY8C3ctxq1tqvaCgkFb8cCA/edit?usp=sharing"",""สกลนคร!J124"")"),12800)</f>
        <v>12800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IFERROR(__xludf.DUMMYFUNCTION("IMPORTRANGE(""https://docs.google.com/spreadsheets/d/1XL5vhW3sbDhbH9Cz0tuDiY8C3ctxq1tqvaCgkFb8cCA/edit?usp=sharing"",""สกลนคร!I125"")"),12800)</f>
        <v>12800</v>
      </c>
      <c r="J200" s="189">
        <f ca="1">IFERROR(__xludf.DUMMYFUNCTION("IMPORTRANGE(""https://docs.google.com/spreadsheets/d/1XL5vhW3sbDhbH9Cz0tuDiY8C3ctxq1tqvaCgkFb8cCA/edit?usp=sharing"",""สกลนคร!J125"")"),0)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IFERROR(__xludf.DUMMYFUNCTION("IMPORTRANGE(""https://docs.google.com/spreadsheets/d/1XL5vhW3sbDhbH9Cz0tuDiY8C3ctxq1tqvaCgkFb8cCA/edit?usp=sharing"",""สกลนคร!I126"")"),0)</f>
        <v>0</v>
      </c>
      <c r="J201" s="189">
        <f ca="1">IFERROR(__xludf.DUMMYFUNCTION("IMPORTRANGE(""https://docs.google.com/spreadsheets/d/1XL5vhW3sbDhbH9Cz0tuDiY8C3ctxq1tqvaCgkFb8cCA/edit?usp=sharing"",""สกลนคร!J126"")"),0)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IFERROR(__xludf.DUMMYFUNCTION("IMPORTRANGE(""https://docs.google.com/spreadsheets/d/1XL5vhW3sbDhbH9Cz0tuDiY8C3ctxq1tqvaCgkFb8cCA/edit?usp=sharing"",""สกลนคร!J127"")"),0)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IFERROR(__xludf.DUMMYFUNCTION("IMPORTRANGE(""https://docs.google.com/spreadsheets/d/1XL5vhW3sbDhbH9Cz0tuDiY8C3ctxq1tqvaCgkFb8cCA/edit?usp=sharing"",""สกลนคร!J128"")"),0)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IFERROR(__xludf.DUMMYFUNCTION("IMPORTRANGE(""https://docs.google.com/spreadsheets/d/1XL5vhW3sbDhbH9Cz0tuDiY8C3ctxq1tqvaCgkFb8cCA/edit?usp=sharing"",""สกลนคร!I129"")"),50)</f>
        <v>50</v>
      </c>
      <c r="J204" s="284">
        <f ca="1">IFERROR(__xludf.DUMMYFUNCTION("IMPORTRANGE(""https://docs.google.com/spreadsheets/d/1XL5vhW3sbDhbH9Cz0tuDiY8C3ctxq1tqvaCgkFb8cCA/edit?usp=sharing"",""สกลนคร!J129"")"),50)</f>
        <v>50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IFERROR(__xludf.DUMMYFUNCTION("IMPORTRANGE(""https://docs.google.com/spreadsheets/d/1XL5vhW3sbDhbH9Cz0tuDiY8C3ctxq1tqvaCgkFb8cCA/edit?usp=sharing"",""สกลนคร!J134"")"),0)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IFERROR(__xludf.DUMMYFUNCTION("IMPORTRANGE(""https://docs.google.com/spreadsheets/d/1XL5vhW3sbDhbH9Cz0tuDiY8C3ctxq1tqvaCgkFb8cCA/edit?usp=sharing"",""สกลนคร!J135"")"),1)</f>
        <v>1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IFERROR(__xludf.DUMMYFUNCTION("IMPORTRANGE(""https://docs.google.com/spreadsheets/d/1XL5vhW3sbDhbH9Cz0tuDiY8C3ctxq1tqvaCgkFb8cCA/edit?usp=sharing"",""สกลนคร!J136"")"),1)</f>
        <v>1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IFERROR(__xludf.DUMMYFUNCTION("IMPORTRANGE(""https://docs.google.com/spreadsheets/d/1XL5vhW3sbDhbH9Cz0tuDiY8C3ctxq1tqvaCgkFb8cCA/edit?usp=sharing"",""สกลนคร!J137"")"),1)</f>
        <v>1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IFERROR(__xludf.DUMMYFUNCTION("IMPORTRANGE(""https://docs.google.com/spreadsheets/d/1XL5vhW3sbDhbH9Cz0tuDiY8C3ctxq1tqvaCgkFb8cCA/edit?usp=sharing"",""สกลนคร!I138"")"),50)</f>
        <v>50</v>
      </c>
      <c r="J213" s="204">
        <f ca="1">IFERROR(__xludf.DUMMYFUNCTION("IMPORTRANGE(""https://docs.google.com/spreadsheets/d/1XL5vhW3sbDhbH9Cz0tuDiY8C3ctxq1tqvaCgkFb8cCA/edit?usp=sharing"",""สกลนคร!J138"")"),50)</f>
        <v>50</v>
      </c>
      <c r="K213" s="224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IFERROR(__xludf.DUMMYFUNCTION("IMPORTRANGE(""https://docs.google.com/spreadsheets/d/1XL5vhW3sbDhbH9Cz0tuDiY8C3ctxq1tqvaCgkFb8cCA/edit?usp=sharing"",""สกลนคร!I140"")"),50)</f>
        <v>50</v>
      </c>
      <c r="J215" s="204">
        <f ca="1">IFERROR(__xludf.DUMMYFUNCTION("IMPORTRANGE(""https://docs.google.com/spreadsheets/d/1XL5vhW3sbDhbH9Cz0tuDiY8C3ctxq1tqvaCgkFb8cCA/edit?usp=sharing"",""สกลนคร!J140"")"),0)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IFERROR(__xludf.DUMMYFUNCTION("IMPORTRANGE(""https://docs.google.com/spreadsheets/d/1XL5vhW3sbDhbH9Cz0tuDiY8C3ctxq1tqvaCgkFb8cCA/edit?usp=sharing"",""สกลนคร!I141"")"),1)</f>
        <v>1</v>
      </c>
      <c r="J216" s="204">
        <f ca="1">IFERROR(__xludf.DUMMYFUNCTION("IMPORTRANGE(""https://docs.google.com/spreadsheets/d/1XL5vhW3sbDhbH9Cz0tuDiY8C3ctxq1tqvaCgkFb8cCA/edit?usp=sharing"",""สกลนคร!J141"")"),0)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IFERROR(__xludf.DUMMYFUNCTION("IMPORTRANGE(""https://docs.google.com/spreadsheets/d/1XL5vhW3sbDhbH9Cz0tuDiY8C3ctxq1tqvaCgkFb8cCA/edit?usp=sharing"",""สกลนคร!J142"")"),0)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IFERROR(__xludf.DUMMYFUNCTION("IMPORTRANGE(""https://docs.google.com/spreadsheets/d/1XL5vhW3sbDhbH9Cz0tuDiY8C3ctxq1tqvaCgkFb8cCA/edit?usp=sharing"",""สกลนคร!J143"")"),0)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IFERROR(__xludf.DUMMYFUNCTION("IMPORTRANGE(""https://docs.google.com/spreadsheets/d/1XL5vhW3sbDhbH9Cz0tuDiY8C3ctxq1tqvaCgkFb8cCA/edit?usp=sharing"",""สกลนคร!I144"")"),14)</f>
        <v>14</v>
      </c>
      <c r="J219" s="267">
        <f ca="1">IFERROR(__xludf.DUMMYFUNCTION("IMPORTRANGE(""https://docs.google.com/spreadsheets/d/1XL5vhW3sbDhbH9Cz0tuDiY8C3ctxq1tqvaCgkFb8cCA/edit?usp=sharing"",""สกลนคร!J144"")"),14)</f>
        <v>14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54" t="s">
        <v>17</v>
      </c>
      <c r="E220" s="555"/>
      <c r="F220" s="555"/>
      <c r="G220" s="555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52" t="s">
        <v>20</v>
      </c>
      <c r="E223" s="553"/>
      <c r="F223" s="55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537">
        <f ca="1">IFERROR(__xludf.DUMMYFUNCTION("IMPORTRANGE(""https://docs.google.com/spreadsheets/d/1Yj_ptqi66GCucihVvJfMjLAmec39IyEx_6qawtMGysU/edit?usp=sharing"",""สบก!BS51"")"),20210)</f>
        <v>20210</v>
      </c>
      <c r="N224" s="538">
        <f ca="1">IFERROR(__xludf.DUMMYFUNCTION("IMPORTRANGE(""https://docs.google.com/spreadsheets/d/1Yj_ptqi66GCucihVvJfMjLAmec39IyEx_6qawtMGysU/edit?usp=sharing"",""สบก!BT51"")"),20210)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537">
        <f ca="1">IFERROR(__xludf.DUMMYFUNCTION("IMPORTRANGE(""https://docs.google.com/spreadsheets/d/1Yj_ptqi66GCucihVvJfMjLAmec39IyEx_6qawtMGysU/edit?usp=sharing"",""สบก!BO51"")"),0)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537">
        <f ca="1">IFERROR(__xludf.DUMMYFUNCTION("IMPORTRANGE(""https://docs.google.com/spreadsheets/d/1Yj_ptqi66GCucihVvJfMjLAmec39IyEx_6qawtMGysU/edit?usp=sharing"",""สบก!BP51"")"),20210)</f>
        <v>20210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52" t="s">
        <v>23</v>
      </c>
      <c r="E227" s="553"/>
      <c r="F227" s="89"/>
      <c r="G227" s="82" t="s">
        <v>18</v>
      </c>
      <c r="H227" s="172" t="s">
        <v>12</v>
      </c>
      <c r="I227" s="201"/>
      <c r="J227" s="201"/>
      <c r="K227" s="290"/>
      <c r="L227" s="535">
        <v>0</v>
      </c>
      <c r="M227" s="535"/>
      <c r="N227" s="41"/>
      <c r="O227" s="535"/>
      <c r="P227" s="535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533">
        <f ca="1">IFERROR(__xludf.DUMMYFUNCTION("IMPORTRANGE(""https://docs.google.com/spreadsheets/d/1Yj_ptqi66GCucihVvJfMjLAmec39IyEx_6qawtMGysU/edit?usp=sharing"",""สบก!BQ51"")"),0)</f>
        <v>0</v>
      </c>
      <c r="M228" s="536"/>
      <c r="N228" s="533">
        <f ca="1">IFERROR(__xludf.DUMMYFUNCTION("IMPORTRANGE(""https://docs.google.com/spreadsheets/d/1Yj_ptqi66GCucihVvJfMjLAmec39IyEx_6qawtMGysU/edit?usp=sharing"",""สบก!BU51"")"),0)</f>
        <v>0</v>
      </c>
      <c r="O228" s="536">
        <f ca="1">IF(L228&gt;0,N228*100/L228,0)</f>
        <v>0</v>
      </c>
      <c r="P228" s="536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IFERROR(__xludf.DUMMYFUNCTION("IMPORTRANGE(""https://docs.google.com/spreadsheets/d/1XL5vhW3sbDhbH9Cz0tuDiY8C3ctxq1tqvaCgkFb8cCA/edit?usp=sharing"",""สกลนคร!I149"")"),14)</f>
        <v>14</v>
      </c>
      <c r="J229" s="267">
        <f ca="1">IFERROR(__xludf.DUMMYFUNCTION("IMPORTRANGE(""https://docs.google.com/spreadsheets/d/1XL5vhW3sbDhbH9Cz0tuDiY8C3ctxq1tqvaCgkFb8cCA/edit?usp=sharing"",""สกลนคร!J149"")"),14)</f>
        <v>14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IFERROR(__xludf.DUMMYFUNCTION("IMPORTRANGE(""https://docs.google.com/spreadsheets/d/1XL5vhW3sbDhbH9Cz0tuDiY8C3ctxq1tqvaCgkFb8cCA/edit?usp=sharing"",""สกลนคร!J151"")"),0)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IFERROR(__xludf.DUMMYFUNCTION("IMPORTRANGE(""https://docs.google.com/spreadsheets/d/1XL5vhW3sbDhbH9Cz0tuDiY8C3ctxq1tqvaCgkFb8cCA/edit?usp=sharing"",""สกลนคร!J152"")"),1)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IFERROR(__xludf.DUMMYFUNCTION("IMPORTRANGE(""https://docs.google.com/spreadsheets/d/1XL5vhW3sbDhbH9Cz0tuDiY8C3ctxq1tqvaCgkFb8cCA/edit?usp=sharing"",""สกลนคร!J153"")"),1)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IFERROR(__xludf.DUMMYFUNCTION("IMPORTRANGE(""https://docs.google.com/spreadsheets/d/1XL5vhW3sbDhbH9Cz0tuDiY8C3ctxq1tqvaCgkFb8cCA/edit?usp=sharing"",""สกลนคร!J154"")"),1)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IFERROR(__xludf.DUMMYFUNCTION("IMPORTRANGE(""https://docs.google.com/spreadsheets/d/1XL5vhW3sbDhbH9Cz0tuDiY8C3ctxq1tqvaCgkFb8cCA/edit?usp=sharing"",""สกลนคร!I155"")"),14)</f>
        <v>14</v>
      </c>
      <c r="J235" s="189">
        <f ca="1">IFERROR(__xludf.DUMMYFUNCTION("IMPORTRANGE(""https://docs.google.com/spreadsheets/d/1XL5vhW3sbDhbH9Cz0tuDiY8C3ctxq1tqvaCgkFb8cCA/edit?usp=sharing"",""สกลนคร!J155"")"),14)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IFERROR(__xludf.DUMMYFUNCTION("IMPORTRANGE(""https://docs.google.com/spreadsheets/d/1XL5vhW3sbDhbH9Cz0tuDiY8C3ctxq1tqvaCgkFb8cCA/edit?usp=sharing"",""สกลนคร!J156"")"),0)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IFERROR(__xludf.DUMMYFUNCTION("IMPORTRANGE(""https://docs.google.com/spreadsheets/d/1XL5vhW3sbDhbH9Cz0tuDiY8C3ctxq1tqvaCgkFb8cCA/edit?usp=sharing"",""สกลนคร!J157"")"),0)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IFERROR(__xludf.DUMMYFUNCTION("IMPORTRANGE(""https://docs.google.com/spreadsheets/d/1XL5vhW3sbDhbH9Cz0tuDiY8C3ctxq1tqvaCgkFb8cCA/edit?usp=sharing"",""สกลนคร!I158"")"),0)</f>
        <v>0</v>
      </c>
      <c r="J238" s="267">
        <f ca="1">IFERROR(__xludf.DUMMYFUNCTION("IMPORTRANGE(""https://docs.google.com/spreadsheets/d/1XL5vhW3sbDhbH9Cz0tuDiY8C3ctxq1tqvaCgkFb8cCA/edit?usp=sharing"",""สกลนคร!J158"")"),0)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IFERROR(__xludf.DUMMYFUNCTION("IMPORTRANGE(""https://docs.google.com/spreadsheets/d/1XL5vhW3sbDhbH9Cz0tuDiY8C3ctxq1tqvaCgkFb8cCA/edit?usp=sharing"",""สกลนคร!J159"")"),"")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IFERROR(__xludf.DUMMYFUNCTION("IMPORTRANGE(""https://docs.google.com/spreadsheets/d/1XL5vhW3sbDhbH9Cz0tuDiY8C3ctxq1tqvaCgkFb8cCA/edit?usp=sharing"",""สกลนคร!J161"")"),0)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IFERROR(__xludf.DUMMYFUNCTION("IMPORTRANGE(""https://docs.google.com/spreadsheets/d/1XL5vhW3sbDhbH9Cz0tuDiY8C3ctxq1tqvaCgkFb8cCA/edit?usp=sharing"",""สกลนคร!J162"")"),0)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IFERROR(__xludf.DUMMYFUNCTION("IMPORTRANGE(""https://docs.google.com/spreadsheets/d/1XL5vhW3sbDhbH9Cz0tuDiY8C3ctxq1tqvaCgkFb8cCA/edit?usp=sharing"",""สกลนคร!J163"")"),0)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IFERROR(__xludf.DUMMYFUNCTION("IMPORTRANGE(""https://docs.google.com/spreadsheets/d/1XL5vhW3sbDhbH9Cz0tuDiY8C3ctxq1tqvaCgkFb8cCA/edit?usp=sharing"",""สกลนคร!I164"")"),0)</f>
        <v>0</v>
      </c>
      <c r="J244" s="188">
        <f ca="1">IFERROR(__xludf.DUMMYFUNCTION("IMPORTRANGE(""https://docs.google.com/spreadsheets/d/1XL5vhW3sbDhbH9Cz0tuDiY8C3ctxq1tqvaCgkFb8cCA/edit?usp=sharing"",""สกลนคร!J164"")"),0)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IFERROR(__xludf.DUMMYFUNCTION("IMPORTRANGE(""https://docs.google.com/spreadsheets/d/1XL5vhW3sbDhbH9Cz0tuDiY8C3ctxq1tqvaCgkFb8cCA/edit?usp=sharing"",""สกลนคร!J165"")"),0)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IFERROR(__xludf.DUMMYFUNCTION("IMPORTRANGE(""https://docs.google.com/spreadsheets/d/1XL5vhW3sbDhbH9Cz0tuDiY8C3ctxq1tqvaCgkFb8cCA/edit?usp=sharing"",""สกลนคร!J166"")"),0)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IFERROR(__xludf.DUMMYFUNCTION("IMPORTRANGE(""https://docs.google.com/spreadsheets/d/1XL5vhW3sbDhbH9Cz0tuDiY8C3ctxq1tqvaCgkFb8cCA/edit?usp=sharing"",""สกลนคร!I169"")"),25)</f>
        <v>25</v>
      </c>
      <c r="J249" s="316">
        <f ca="1">IFERROR(__xludf.DUMMYFUNCTION("IMPORTRANGE(""https://docs.google.com/spreadsheets/d/1XL5vhW3sbDhbH9Cz0tuDiY8C3ctxq1tqvaCgkFb8cCA/edit?usp=sharing"",""สกลนคร!J169"")"),13)</f>
        <v>13</v>
      </c>
      <c r="K249" s="317">
        <f ca="1">IF(I249&gt;0,J249*100/I249,0)</f>
        <v>52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54" t="s">
        <v>17</v>
      </c>
      <c r="E250" s="555"/>
      <c r="F250" s="555"/>
      <c r="G250" s="555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89000</v>
      </c>
      <c r="N250" s="152">
        <f t="shared" ca="1" si="77"/>
        <v>42225</v>
      </c>
      <c r="O250" s="151">
        <f t="shared" ref="O250:O252" ca="1" si="78">IF(L250&gt;0,N250*100/L250,0)</f>
        <v>47.443820224719104</v>
      </c>
      <c r="P250" s="151">
        <f t="shared" ref="P250:P252" ca="1" si="79">IF(M250&gt;0,N250*100/M250,0)</f>
        <v>47.443820224719104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89000</v>
      </c>
      <c r="M252" s="157">
        <f t="shared" ca="1" si="81"/>
        <v>89000</v>
      </c>
      <c r="N252" s="157">
        <f t="shared" ca="1" si="81"/>
        <v>42225</v>
      </c>
      <c r="O252" s="156">
        <f t="shared" ca="1" si="78"/>
        <v>47.443820224719104</v>
      </c>
      <c r="P252" s="156">
        <f t="shared" ca="1" si="79"/>
        <v>47.443820224719104</v>
      </c>
    </row>
    <row r="253" spans="1:16" ht="21.75" customHeight="1" x14ac:dyDescent="0.45">
      <c r="A253" s="158"/>
      <c r="B253" s="159"/>
      <c r="C253" s="159" t="s">
        <v>16</v>
      </c>
      <c r="D253" s="552" t="s">
        <v>20</v>
      </c>
      <c r="E253" s="553"/>
      <c r="F253" s="55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89000</v>
      </c>
      <c r="M254" s="537">
        <f ca="1">IFERROR(__xludf.DUMMYFUNCTION("IMPORTRANGE(""https://docs.google.com/spreadsheets/d/1Yj_ptqi66GCucihVvJfMjLAmec39IyEx_6qawtMGysU/edit?usp=sharing"",""สบก!CB51"")"),89000)</f>
        <v>89000</v>
      </c>
      <c r="N254" s="538">
        <f ca="1">IFERROR(__xludf.DUMMYFUNCTION("IMPORTRANGE(""https://docs.google.com/spreadsheets/d/1Yj_ptqi66GCucihVvJfMjLAmec39IyEx_6qawtMGysU/edit?usp=sharing"",""สบก!CC51"")"),42225)</f>
        <v>42225</v>
      </c>
      <c r="O254" s="169">
        <f ca="1">IF(L254&gt;0,N254*100/L254,0)</f>
        <v>47.443820224719104</v>
      </c>
      <c r="P254" s="169">
        <f ca="1">IF(M254&gt;0,N254*100/M254,0)</f>
        <v>47.443820224719104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537">
        <f ca="1">IFERROR(__xludf.DUMMYFUNCTION("IMPORTRANGE(""https://docs.google.com/spreadsheets/d/1Yj_ptqi66GCucihVvJfMjLAmec39IyEx_6qawtMGysU/edit?usp=sharing"",""สบก!BX51"")"),0)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537">
        <f ca="1">IFERROR(__xludf.DUMMYFUNCTION("IMPORTRANGE(""https://docs.google.com/spreadsheets/d/1Yj_ptqi66GCucihVvJfMjLAmec39IyEx_6qawtMGysU/edit?usp=sharing"",""สบก!BY51"")"),89000)</f>
        <v>89000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52" t="s">
        <v>23</v>
      </c>
      <c r="E257" s="553"/>
      <c r="F257" s="89"/>
      <c r="G257" s="82" t="s">
        <v>18</v>
      </c>
      <c r="H257" s="172" t="s">
        <v>12</v>
      </c>
      <c r="I257" s="162"/>
      <c r="J257" s="162"/>
      <c r="K257" s="163"/>
      <c r="L257" s="535">
        <v>0</v>
      </c>
      <c r="M257" s="535"/>
      <c r="N257" s="41"/>
      <c r="O257" s="535"/>
      <c r="P257" s="535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533">
        <f ca="1">IFERROR(__xludf.DUMMYFUNCTION("IMPORTRANGE(""https://docs.google.com/spreadsheets/d/1Yj_ptqi66GCucihVvJfMjLAmec39IyEx_6qawtMGysU/edit?usp=sharing"",""สบก!BZ51"")"),0)</f>
        <v>0</v>
      </c>
      <c r="M258" s="536"/>
      <c r="N258" s="533">
        <f ca="1">IFERROR(__xludf.DUMMYFUNCTION("IMPORTRANGE(""https://docs.google.com/spreadsheets/d/1Yj_ptqi66GCucihVvJfMjLAmec39IyEx_6qawtMGysU/edit?usp=sharing"",""สบก!CD51"")"),0)</f>
        <v>0</v>
      </c>
      <c r="O258" s="536">
        <f ca="1">IF(L258&gt;0,N258*100/L258,0)</f>
        <v>0</v>
      </c>
      <c r="P258" s="536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IFERROR(__xludf.DUMMYFUNCTION("IMPORTRANGE(""https://docs.google.com/spreadsheets/d/1XL5vhW3sbDhbH9Cz0tuDiY8C3ctxq1tqvaCgkFb8cCA/edit?usp=sharing"",""สกลนคร!J175"")"),0)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IFERROR(__xludf.DUMMYFUNCTION("IMPORTRANGE(""https://docs.google.com/spreadsheets/d/1XL5vhW3sbDhbH9Cz0tuDiY8C3ctxq1tqvaCgkFb8cCA/edit?usp=sharing"",""สกลนคร!J176"")"),1)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IFERROR(__xludf.DUMMYFUNCTION("IMPORTRANGE(""https://docs.google.com/spreadsheets/d/1XL5vhW3sbDhbH9Cz0tuDiY8C3ctxq1tqvaCgkFb8cCA/edit?usp=sharing"",""สกลนคร!J177"")"),1)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IFERROR(__xludf.DUMMYFUNCTION("IMPORTRANGE(""https://docs.google.com/spreadsheets/d/1XL5vhW3sbDhbH9Cz0tuDiY8C3ctxq1tqvaCgkFb8cCA/edit?usp=sharing"",""สกลนคร!J178"")"),1)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IFERROR(__xludf.DUMMYFUNCTION("IMPORTRANGE(""https://docs.google.com/spreadsheets/d/1XL5vhW3sbDhbH9Cz0tuDiY8C3ctxq1tqvaCgkFb8cCA/edit?usp=sharing"",""สกลนคร!I179"")"),1)</f>
        <v>1</v>
      </c>
      <c r="J264" s="189">
        <f ca="1">IFERROR(__xludf.DUMMYFUNCTION("IMPORTRANGE(""https://docs.google.com/spreadsheets/d/1XL5vhW3sbDhbH9Cz0tuDiY8C3ctxq1tqvaCgkFb8cCA/edit?usp=sharing"",""สกลนคร!J179"")"),0)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IFERROR(__xludf.DUMMYFUNCTION("IMPORTRANGE(""https://docs.google.com/spreadsheets/d/1XL5vhW3sbDhbH9Cz0tuDiY8C3ctxq1tqvaCgkFb8cCA/edit?usp=sharing"",""สกลนคร!I180"")"),25)</f>
        <v>25</v>
      </c>
      <c r="J265" s="189">
        <f ca="1">IFERROR(__xludf.DUMMYFUNCTION("IMPORTRANGE(""https://docs.google.com/spreadsheets/d/1XL5vhW3sbDhbH9Cz0tuDiY8C3ctxq1tqvaCgkFb8cCA/edit?usp=sharing"",""สกลนคร!J180"")"),13)</f>
        <v>13</v>
      </c>
      <c r="K265" s="163">
        <f t="shared" ca="1" si="82"/>
        <v>52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IFERROR(__xludf.DUMMYFUNCTION("IMPORTRANGE(""https://docs.google.com/spreadsheets/d/1XL5vhW3sbDhbH9Cz0tuDiY8C3ctxq1tqvaCgkFb8cCA/edit?usp=sharing"",""สกลนคร!I181"")"),25)</f>
        <v>25</v>
      </c>
      <c r="J266" s="189">
        <f ca="1">IFERROR(__xludf.DUMMYFUNCTION("IMPORTRANGE(""https://docs.google.com/spreadsheets/d/1XL5vhW3sbDhbH9Cz0tuDiY8C3ctxq1tqvaCgkFb8cCA/edit?usp=sharing"",""สกลนคร!J181"")"),0)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IFERROR(__xludf.DUMMYFUNCTION("IMPORTRANGE(""https://docs.google.com/spreadsheets/d/1XL5vhW3sbDhbH9Cz0tuDiY8C3ctxq1tqvaCgkFb8cCA/edit?usp=sharing"",""สกลนคร!I182"")"),1)</f>
        <v>1</v>
      </c>
      <c r="J267" s="189">
        <f ca="1">IFERROR(__xludf.DUMMYFUNCTION("IMPORTRANGE(""https://docs.google.com/spreadsheets/d/1XL5vhW3sbDhbH9Cz0tuDiY8C3ctxq1tqvaCgkFb8cCA/edit?usp=sharing"",""สกลนคร!J182"")"),1)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IFERROR(__xludf.DUMMYFUNCTION("IMPORTRANGE(""https://docs.google.com/spreadsheets/d/1XL5vhW3sbDhbH9Cz0tuDiY8C3ctxq1tqvaCgkFb8cCA/edit?usp=sharing"",""สกลนคร!J183"")"),0)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IFERROR(__xludf.DUMMYFUNCTION("IMPORTRANGE(""https://docs.google.com/spreadsheets/d/1XL5vhW3sbDhbH9Cz0tuDiY8C3ctxq1tqvaCgkFb8cCA/edit?usp=sharing"",""สกลนคร!J184"")"),0)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IFERROR(__xludf.DUMMYFUNCTION("IMPORTRANGE(""https://docs.google.com/spreadsheets/d/1XL5vhW3sbDhbH9Cz0tuDiY8C3ctxq1tqvaCgkFb8cCA/edit?usp=sharing"",""สกลนคร!I185"")"),0)</f>
        <v>0</v>
      </c>
      <c r="J270" s="316">
        <f ca="1">IFERROR(__xludf.DUMMYFUNCTION("IMPORTRANGE(""https://docs.google.com/spreadsheets/d/1XL5vhW3sbDhbH9Cz0tuDiY8C3ctxq1tqvaCgkFb8cCA/edit?usp=sharing"",""สกลนคร!J185"")"),0)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54" t="s">
        <v>17</v>
      </c>
      <c r="E271" s="555"/>
      <c r="F271" s="555"/>
      <c r="G271" s="555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5">
      <c r="A274" s="158"/>
      <c r="B274" s="159"/>
      <c r="C274" s="159" t="s">
        <v>16</v>
      </c>
      <c r="D274" s="552" t="s">
        <v>20</v>
      </c>
      <c r="E274" s="553"/>
      <c r="F274" s="55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537">
        <f ca="1">IFERROR(__xludf.DUMMYFUNCTION("IMPORTRANGE(""https://docs.google.com/spreadsheets/d/1Yj_ptqi66GCucihVvJfMjLAmec39IyEx_6qawtMGysU/edit?usp=sharing"",""สบก!CK51"")"),0)</f>
        <v>0</v>
      </c>
      <c r="N275" s="538">
        <f ca="1">IFERROR(__xludf.DUMMYFUNCTION("IMPORTRANGE(""https://docs.google.com/spreadsheets/d/1Yj_ptqi66GCucihVvJfMjLAmec39IyEx_6qawtMGysU/edit?usp=sharing"",""สบก!CL51"")"),0)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537">
        <f ca="1">IFERROR(__xludf.DUMMYFUNCTION("IMPORTRANGE(""https://docs.google.com/spreadsheets/d/1Yj_ptqi66GCucihVvJfMjLAmec39IyEx_6qawtMGysU/edit?usp=sharing"",""สบก!CG51"")"),0)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537">
        <f ca="1">IFERROR(__xludf.DUMMYFUNCTION("IMPORTRANGE(""https://docs.google.com/spreadsheets/d/1Yj_ptqi66GCucihVvJfMjLAmec39IyEx_6qawtMGysU/edit?usp=sharing"",""สบก!CH51"")"),0)</f>
        <v>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52" t="s">
        <v>23</v>
      </c>
      <c r="E278" s="553"/>
      <c r="F278" s="89"/>
      <c r="G278" s="82" t="s">
        <v>18</v>
      </c>
      <c r="H278" s="172" t="s">
        <v>12</v>
      </c>
      <c r="I278" s="162"/>
      <c r="J278" s="162"/>
      <c r="K278" s="163"/>
      <c r="L278" s="535">
        <v>0</v>
      </c>
      <c r="M278" s="535"/>
      <c r="N278" s="41"/>
      <c r="O278" s="535"/>
      <c r="P278" s="535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533">
        <f ca="1">IFERROR(__xludf.DUMMYFUNCTION("IMPORTRANGE(""https://docs.google.com/spreadsheets/d/1Yj_ptqi66GCucihVvJfMjLAmec39IyEx_6qawtMGysU/edit?usp=sharing"",""สบก!CI51"")"),0)</f>
        <v>0</v>
      </c>
      <c r="M279" s="536"/>
      <c r="N279" s="533">
        <f ca="1">IFERROR(__xludf.DUMMYFUNCTION("IMPORTRANGE(""https://docs.google.com/spreadsheets/d/1Yj_ptqi66GCucihVvJfMjLAmec39IyEx_6qawtMGysU/edit?usp=sharing"",""สบก!CM51"")"),0)</f>
        <v>0</v>
      </c>
      <c r="O279" s="536">
        <f ca="1">IF(L279&gt;0,N279*100/L279,0)</f>
        <v>0</v>
      </c>
      <c r="P279" s="536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IFERROR(__xludf.DUMMYFUNCTION("IMPORTRANGE(""https://docs.google.com/spreadsheets/d/1XL5vhW3sbDhbH9Cz0tuDiY8C3ctxq1tqvaCgkFb8cCA/edit?usp=sharing"",""สกลนคร!J191"")"),0)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IFERROR(__xludf.DUMMYFUNCTION("IMPORTRANGE(""https://docs.google.com/spreadsheets/d/1XL5vhW3sbDhbH9Cz0tuDiY8C3ctxq1tqvaCgkFb8cCA/edit?usp=sharing"",""สกลนคร!J192"")"),0)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IFERROR(__xludf.DUMMYFUNCTION("IMPORTRANGE(""https://docs.google.com/spreadsheets/d/1XL5vhW3sbDhbH9Cz0tuDiY8C3ctxq1tqvaCgkFb8cCA/edit?usp=sharing"",""สกลนคร!J193"")"),0)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IFERROR(__xludf.DUMMYFUNCTION("IMPORTRANGE(""https://docs.google.com/spreadsheets/d/1XL5vhW3sbDhbH9Cz0tuDiY8C3ctxq1tqvaCgkFb8cCA/edit?usp=sharing"",""สกลนคร!J194"")"),0)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IFERROR(__xludf.DUMMYFUNCTION("IMPORTRANGE(""https://docs.google.com/spreadsheets/d/1XL5vhW3sbDhbH9Cz0tuDiY8C3ctxq1tqvaCgkFb8cCA/edit?usp=sharing"",""สกลนคร!I195"")"),0)</f>
        <v>0</v>
      </c>
      <c r="J285" s="189">
        <f ca="1">IFERROR(__xludf.DUMMYFUNCTION("IMPORTRANGE(""https://docs.google.com/spreadsheets/d/1XL5vhW3sbDhbH9Cz0tuDiY8C3ctxq1tqvaCgkFb8cCA/edit?usp=sharing"",""สกลนคร!J195"")"),0)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IFERROR(__xludf.DUMMYFUNCTION("IMPORTRANGE(""https://docs.google.com/spreadsheets/d/1XL5vhW3sbDhbH9Cz0tuDiY8C3ctxq1tqvaCgkFb8cCA/edit?usp=sharing"",""สกลนคร!J196"")"),0)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IFERROR(__xludf.DUMMYFUNCTION("IMPORTRANGE(""https://docs.google.com/spreadsheets/d/1XL5vhW3sbDhbH9Cz0tuDiY8C3ctxq1tqvaCgkFb8cCA/edit?usp=sharing"",""สกลนคร!J197"")"),0)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IFERROR(__xludf.DUMMYFUNCTION("IMPORTRANGE(""https://docs.google.com/spreadsheets/d/1XL5vhW3sbDhbH9Cz0tuDiY8C3ctxq1tqvaCgkFb8cCA/edit?usp=sharing"",""สกลนคร!I199"")"),0)</f>
        <v>0</v>
      </c>
      <c r="J289" s="316">
        <f ca="1">IFERROR(__xludf.DUMMYFUNCTION("IMPORTRANGE(""https://docs.google.com/spreadsheets/d/1XL5vhW3sbDhbH9Cz0tuDiY8C3ctxq1tqvaCgkFb8cCA/edit?usp=sharing"",""สกลนคร!J199"")"),0)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54" t="s">
        <v>17</v>
      </c>
      <c r="E290" s="555"/>
      <c r="F290" s="555"/>
      <c r="G290" s="55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52" t="s">
        <v>20</v>
      </c>
      <c r="E293" s="553"/>
      <c r="F293" s="55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537">
        <f ca="1">IFERROR(__xludf.DUMMYFUNCTION("IMPORTRANGE(""https://docs.google.com/spreadsheets/d/1Yj_ptqi66GCucihVvJfMjLAmec39IyEx_6qawtMGysU/edit?usp=sharing"",""สบก!CT51"")"),0)</f>
        <v>0</v>
      </c>
      <c r="N294" s="538">
        <f ca="1">IFERROR(__xludf.DUMMYFUNCTION("IMPORTRANGE(""https://docs.google.com/spreadsheets/d/1Yj_ptqi66GCucihVvJfMjLAmec39IyEx_6qawtMGysU/edit?usp=sharing"",""สบก!CU51"")"),0)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537">
        <f ca="1">IFERROR(__xludf.DUMMYFUNCTION("IMPORTRANGE(""https://docs.google.com/spreadsheets/d/1Yj_ptqi66GCucihVvJfMjLAmec39IyEx_6qawtMGysU/edit?usp=sharing"",""สบก!CP51"")"),0)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537">
        <f ca="1">IFERROR(__xludf.DUMMYFUNCTION("IMPORTRANGE(""https://docs.google.com/spreadsheets/d/1Yj_ptqi66GCucihVvJfMjLAmec39IyEx_6qawtMGysU/edit?usp=sharing"",""สบก!CQ51"")"),0)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52" t="s">
        <v>23</v>
      </c>
      <c r="E297" s="553"/>
      <c r="F297" s="89"/>
      <c r="G297" s="82" t="s">
        <v>18</v>
      </c>
      <c r="H297" s="172" t="s">
        <v>12</v>
      </c>
      <c r="I297" s="188"/>
      <c r="J297" s="188"/>
      <c r="K297" s="224"/>
      <c r="L297" s="535">
        <v>0</v>
      </c>
      <c r="M297" s="535"/>
      <c r="N297" s="41"/>
      <c r="O297" s="535"/>
      <c r="P297" s="535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533">
        <f ca="1">IFERROR(__xludf.DUMMYFUNCTION("IMPORTRANGE(""https://docs.google.com/spreadsheets/d/1Yj_ptqi66GCucihVvJfMjLAmec39IyEx_6qawtMGysU/edit?usp=sharing"",""สบก!CR51"")"),0)</f>
        <v>0</v>
      </c>
      <c r="M298" s="536"/>
      <c r="N298" s="533">
        <f ca="1">IFERROR(__xludf.DUMMYFUNCTION("IMPORTRANGE(""https://docs.google.com/spreadsheets/d/1Yj_ptqi66GCucihVvJfMjLAmec39IyEx_6qawtMGysU/edit?usp=sharing"",""สบก!CV51"")"),0)</f>
        <v>0</v>
      </c>
      <c r="O298" s="536">
        <f ca="1">IF(L298&gt;0,N298*100/L298,0)</f>
        <v>0</v>
      </c>
      <c r="P298" s="536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IFERROR(__xludf.DUMMYFUNCTION("IMPORTRANGE(""https://docs.google.com/spreadsheets/d/1XL5vhW3sbDhbH9Cz0tuDiY8C3ctxq1tqvaCgkFb8cCA/edit?usp=sharing"",""สกลนคร!J205"")"),0)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IFERROR(__xludf.DUMMYFUNCTION("IMPORTRANGE(""https://docs.google.com/spreadsheets/d/1XL5vhW3sbDhbH9Cz0tuDiY8C3ctxq1tqvaCgkFb8cCA/edit?usp=sharing"",""สกลนคร!J206"")"),0)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IFERROR(__xludf.DUMMYFUNCTION("IMPORTRANGE(""https://docs.google.com/spreadsheets/d/1XL5vhW3sbDhbH9Cz0tuDiY8C3ctxq1tqvaCgkFb8cCA/edit?usp=sharing"",""สกลนคร!J207"")"),0)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IFERROR(__xludf.DUMMYFUNCTION("IMPORTRANGE(""https://docs.google.com/spreadsheets/d/1XL5vhW3sbDhbH9Cz0tuDiY8C3ctxq1tqvaCgkFb8cCA/edit?usp=sharing"",""สกลนคร!J208"")"),0)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IFERROR(__xludf.DUMMYFUNCTION("IMPORTRANGE(""https://docs.google.com/spreadsheets/d/1XL5vhW3sbDhbH9Cz0tuDiY8C3ctxq1tqvaCgkFb8cCA/edit?usp=sharing"",""สกลนคร!I209"")"),0)</f>
        <v>0</v>
      </c>
      <c r="J304" s="204">
        <f ca="1">IFERROR(__xludf.DUMMYFUNCTION("IMPORTRANGE(""https://docs.google.com/spreadsheets/d/1XL5vhW3sbDhbH9Cz0tuDiY8C3ctxq1tqvaCgkFb8cCA/edit?usp=sharing"",""สกลนคร!J209"")"),0)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IFERROR(__xludf.DUMMYFUNCTION("IMPORTRANGE(""https://docs.google.com/spreadsheets/d/1XL5vhW3sbDhbH9Cz0tuDiY8C3ctxq1tqvaCgkFb8cCA/edit?usp=sharing"",""สกลนคร!I211"")"),0)</f>
        <v>0</v>
      </c>
      <c r="J306" s="204">
        <f ca="1">IFERROR(__xludf.DUMMYFUNCTION("IMPORTRANGE(""https://docs.google.com/spreadsheets/d/1XL5vhW3sbDhbH9Cz0tuDiY8C3ctxq1tqvaCgkFb8cCA/edit?usp=sharing"",""สกลนคร!J211"")"),0)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IFERROR(__xludf.DUMMYFUNCTION("IMPORTRANGE(""https://docs.google.com/spreadsheets/d/1XL5vhW3sbDhbH9Cz0tuDiY8C3ctxq1tqvaCgkFb8cCA/edit?usp=sharing"",""สกลนคร!J212"")"),0)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IFERROR(__xludf.DUMMYFUNCTION("IMPORTRANGE(""https://docs.google.com/spreadsheets/d/1XL5vhW3sbDhbH9Cz0tuDiY8C3ctxq1tqvaCgkFb8cCA/edit?usp=sharing"",""สกลนคร!J213"")"),0)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IFERROR(__xludf.DUMMYFUNCTION("IMPORTRANGE(""https://docs.google.com/spreadsheets/d/1XL5vhW3sbDhbH9Cz0tuDiY8C3ctxq1tqvaCgkFb8cCA/edit?usp=sharing"",""สกลนคร!I214"")"),0)</f>
        <v>0</v>
      </c>
      <c r="J309" s="333">
        <f ca="1">IFERROR(__xludf.DUMMYFUNCTION("IMPORTRANGE(""https://docs.google.com/spreadsheets/d/1XL5vhW3sbDhbH9Cz0tuDiY8C3ctxq1tqvaCgkFb8cCA/edit?usp=sharing"",""สกลนคร!J214"")"),0)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54" t="s">
        <v>17</v>
      </c>
      <c r="E310" s="555"/>
      <c r="F310" s="555"/>
      <c r="G310" s="55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52" t="s">
        <v>20</v>
      </c>
      <c r="E313" s="553"/>
      <c r="F313" s="55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537">
        <f ca="1">IFERROR(__xludf.DUMMYFUNCTION("IMPORTRANGE(""https://docs.google.com/spreadsheets/d/1Yj_ptqi66GCucihVvJfMjLAmec39IyEx_6qawtMGysU/edit?usp=sharing"",""สบก!DC51"")"),0)</f>
        <v>0</v>
      </c>
      <c r="N314" s="538">
        <f ca="1">IFERROR(__xludf.DUMMYFUNCTION("IMPORTRANGE(""https://docs.google.com/spreadsheets/d/1Yj_ptqi66GCucihVvJfMjLAmec39IyEx_6qawtMGysU/edit?usp=sharing"",""สบก!DD51"")"),0)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537">
        <f ca="1">IFERROR(__xludf.DUMMYFUNCTION("IMPORTRANGE(""https://docs.google.com/spreadsheets/d/1Yj_ptqi66GCucihVvJfMjLAmec39IyEx_6qawtMGysU/edit?usp=sharing"",""สบก!CY51"")"),0)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537">
        <f ca="1">IFERROR(__xludf.DUMMYFUNCTION("IMPORTRANGE(""https://docs.google.com/spreadsheets/d/1Yj_ptqi66GCucihVvJfMjLAmec39IyEx_6qawtMGysU/edit?usp=sharing"",""สบก!CZ51"")"),0)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52" t="s">
        <v>23</v>
      </c>
      <c r="E317" s="553"/>
      <c r="F317" s="89"/>
      <c r="G317" s="82" t="s">
        <v>18</v>
      </c>
      <c r="H317" s="172" t="s">
        <v>12</v>
      </c>
      <c r="I317" s="162"/>
      <c r="J317" s="188"/>
      <c r="K317" s="224"/>
      <c r="L317" s="535">
        <v>0</v>
      </c>
      <c r="M317" s="535"/>
      <c r="N317" s="41"/>
      <c r="O317" s="535"/>
      <c r="P317" s="535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533">
        <f ca="1">IFERROR(__xludf.DUMMYFUNCTION("IMPORTRANGE(""https://docs.google.com/spreadsheets/d/1Yj_ptqi66GCucihVvJfMjLAmec39IyEx_6qawtMGysU/edit?usp=sharing"",""สบก!DA51"")"),0)</f>
        <v>0</v>
      </c>
      <c r="M318" s="536"/>
      <c r="N318" s="533">
        <f ca="1">IFERROR(__xludf.DUMMYFUNCTION("IMPORTRANGE(""https://docs.google.com/spreadsheets/d/1Yj_ptqi66GCucihVvJfMjLAmec39IyEx_6qawtMGysU/edit?usp=sharing"",""สบก!DE51"")"),0)</f>
        <v>0</v>
      </c>
      <c r="O318" s="536">
        <f ca="1">IF(L318&gt;0,N318*100/L318,0)</f>
        <v>0</v>
      </c>
      <c r="P318" s="536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IFERROR(__xludf.DUMMYFUNCTION("IMPORTRANGE(""https://docs.google.com/spreadsheets/d/1XL5vhW3sbDhbH9Cz0tuDiY8C3ctxq1tqvaCgkFb8cCA/edit?usp=sharing"",""สกลนคร!J220"")"),0)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IFERROR(__xludf.DUMMYFUNCTION("IMPORTRANGE(""https://docs.google.com/spreadsheets/d/1XL5vhW3sbDhbH9Cz0tuDiY8C3ctxq1tqvaCgkFb8cCA/edit?usp=sharing"",""สกลนคร!J221"")"),0)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IFERROR(__xludf.DUMMYFUNCTION("IMPORTRANGE(""https://docs.google.com/spreadsheets/d/1XL5vhW3sbDhbH9Cz0tuDiY8C3ctxq1tqvaCgkFb8cCA/edit?usp=sharing"",""สกลนคร!J222"")"),0)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IFERROR(__xludf.DUMMYFUNCTION("IMPORTRANGE(""https://docs.google.com/spreadsheets/d/1XL5vhW3sbDhbH9Cz0tuDiY8C3ctxq1tqvaCgkFb8cCA/edit?usp=sharing"",""สกลนคร!J223"")"),0)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IFERROR(__xludf.DUMMYFUNCTION("IMPORTRANGE(""https://docs.google.com/spreadsheets/d/1XL5vhW3sbDhbH9Cz0tuDiY8C3ctxq1tqvaCgkFb8cCA/edit?usp=sharing"",""สกลนคร!I224"")"),0)</f>
        <v>0</v>
      </c>
      <c r="J324" s="204">
        <f ca="1">IFERROR(__xludf.DUMMYFUNCTION("IMPORTRANGE(""https://docs.google.com/spreadsheets/d/1XL5vhW3sbDhbH9Cz0tuDiY8C3ctxq1tqvaCgkFb8cCA/edit?usp=sharing"",""สกลนคร!J224"")"),0)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IFERROR(__xludf.DUMMYFUNCTION("IMPORTRANGE(""https://docs.google.com/spreadsheets/d/1XL5vhW3sbDhbH9Cz0tuDiY8C3ctxq1tqvaCgkFb8cCA/edit?usp=sharing"",""สกลนคร!J225"")"),0)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IFERROR(__xludf.DUMMYFUNCTION("IMPORTRANGE(""https://docs.google.com/spreadsheets/d/1XL5vhW3sbDhbH9Cz0tuDiY8C3ctxq1tqvaCgkFb8cCA/edit?usp=sharing"",""สกลนคร!J226"")"),0)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IFERROR(__xludf.DUMMYFUNCTION("IMPORTRANGE(""https://docs.google.com/spreadsheets/d/1XL5vhW3sbDhbH9Cz0tuDiY8C3ctxq1tqvaCgkFb8cCA/edit?usp=sharing"",""สกลนคร!I228"")"),610)</f>
        <v>610</v>
      </c>
      <c r="J328" s="339">
        <f ca="1">IFERROR(__xludf.DUMMYFUNCTION("IMPORTRANGE(""https://docs.google.com/spreadsheets/d/1XL5vhW3sbDhbH9Cz0tuDiY8C3ctxq1tqvaCgkFb8cCA/edit?usp=sharing"",""สกลนคร!J228"")"),15)</f>
        <v>15</v>
      </c>
      <c r="K328" s="317">
        <f ca="1">IF(I328&gt;0,J328*100/I328,0)</f>
        <v>2.459016393442623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54" t="s">
        <v>17</v>
      </c>
      <c r="E329" s="555"/>
      <c r="F329" s="555"/>
      <c r="G329" s="555"/>
      <c r="H329" s="149" t="s">
        <v>12</v>
      </c>
      <c r="I329" s="162"/>
      <c r="J329" s="162"/>
      <c r="K329" s="163"/>
      <c r="L329" s="152">
        <f t="shared" ref="L329:N329" ca="1" si="98">L330+L331</f>
        <v>1170150</v>
      </c>
      <c r="M329" s="152">
        <f t="shared" ca="1" si="98"/>
        <v>814660</v>
      </c>
      <c r="N329" s="152">
        <f t="shared" ca="1" si="98"/>
        <v>641990.17000000004</v>
      </c>
      <c r="O329" s="151">
        <f t="shared" ref="O329:O331" ca="1" si="99">IF(L329&gt;0,N329*100/L329,0)</f>
        <v>54.863920864846392</v>
      </c>
      <c r="P329" s="151">
        <f t="shared" ref="P329:P331" ca="1" si="100">IF(M329&gt;0,N329*100/M329,0)</f>
        <v>78.804675570176528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1170150</v>
      </c>
      <c r="M331" s="157">
        <f t="shared" ca="1" si="102"/>
        <v>814660</v>
      </c>
      <c r="N331" s="157">
        <f t="shared" ca="1" si="102"/>
        <v>641990.17000000004</v>
      </c>
      <c r="O331" s="156">
        <f t="shared" ca="1" si="99"/>
        <v>54.863920864846392</v>
      </c>
      <c r="P331" s="156">
        <f t="shared" ca="1" si="100"/>
        <v>78.804675570176528</v>
      </c>
    </row>
    <row r="332" spans="1:16" ht="21.75" customHeight="1" x14ac:dyDescent="0.45">
      <c r="A332" s="158"/>
      <c r="B332" s="159"/>
      <c r="C332" s="159" t="s">
        <v>16</v>
      </c>
      <c r="D332" s="552" t="s">
        <v>20</v>
      </c>
      <c r="E332" s="553"/>
      <c r="F332" s="55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1170150</v>
      </c>
      <c r="M333" s="537">
        <f ca="1">IFERROR(__xludf.DUMMYFUNCTION("IMPORTRANGE(""https://docs.google.com/spreadsheets/d/1Yj_ptqi66GCucihVvJfMjLAmec39IyEx_6qawtMGysU/edit?usp=sharing"",""สบก!DL51"")"),814660)</f>
        <v>814660</v>
      </c>
      <c r="N333" s="538">
        <f ca="1">IFERROR(__xludf.DUMMYFUNCTION("IMPORTRANGE(""https://docs.google.com/spreadsheets/d/1Yj_ptqi66GCucihVvJfMjLAmec39IyEx_6qawtMGysU/edit?usp=sharing"",""สบก!DM51"")"),641990.17)</f>
        <v>641990.17000000004</v>
      </c>
      <c r="O333" s="169">
        <f ca="1">IF(L333&gt;0,N333*100/L333,0)</f>
        <v>54.863920864846392</v>
      </c>
      <c r="P333" s="169">
        <f ca="1">IF(M333&gt;0,N333*100/M333,0)</f>
        <v>78.804675570176528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537">
        <f ca="1">IFERROR(__xludf.DUMMYFUNCTION("IMPORTRANGE(""https://docs.google.com/spreadsheets/d/1Yj_ptqi66GCucihVvJfMjLAmec39IyEx_6qawtMGysU/edit?usp=sharing"",""สบก!DH51"")"),306000)</f>
        <v>306000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537">
        <f ca="1">IFERROR(__xludf.DUMMYFUNCTION("IMPORTRANGE(""https://docs.google.com/spreadsheets/d/1Yj_ptqi66GCucihVvJfMjLAmec39IyEx_6qawtMGysU/edit?usp=sharing"",""สบก!DI51"")"),864150)</f>
        <v>864150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52" t="s">
        <v>23</v>
      </c>
      <c r="E336" s="553"/>
      <c r="F336" s="89"/>
      <c r="G336" s="82" t="s">
        <v>18</v>
      </c>
      <c r="H336" s="172" t="s">
        <v>12</v>
      </c>
      <c r="I336" s="162"/>
      <c r="J336" s="162"/>
      <c r="K336" s="163"/>
      <c r="L336" s="535">
        <v>0</v>
      </c>
      <c r="M336" s="535"/>
      <c r="N336" s="41"/>
      <c r="O336" s="535"/>
      <c r="P336" s="535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533">
        <f ca="1">IFERROR(__xludf.DUMMYFUNCTION("IMPORTRANGE(""https://docs.google.com/spreadsheets/d/1Yj_ptqi66GCucihVvJfMjLAmec39IyEx_6qawtMGysU/edit?usp=sharing"",""สบก!DJ51"")"),0)</f>
        <v>0</v>
      </c>
      <c r="M337" s="536"/>
      <c r="N337" s="533">
        <f ca="1">IFERROR(__xludf.DUMMYFUNCTION("IMPORTRANGE(""https://docs.google.com/spreadsheets/d/1Yj_ptqi66GCucihVvJfMjLAmec39IyEx_6qawtMGysU/edit?usp=sharing"",""สบก!DN51"")"),0)</f>
        <v>0</v>
      </c>
      <c r="O337" s="536">
        <f ca="1">IF(L337&gt;0,N337*100/L337,0)</f>
        <v>0</v>
      </c>
      <c r="P337" s="536"/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IFERROR(__xludf.DUMMYFUNCTION("IMPORTRANGE(""https://docs.google.com/spreadsheets/d/1XL5vhW3sbDhbH9Cz0tuDiY8C3ctxq1tqvaCgkFb8cCA/edit?usp=sharing"",""สกลนคร!I234"")"),0)</f>
        <v>0</v>
      </c>
      <c r="J339" s="188">
        <f ca="1">IFERROR(__xludf.DUMMYFUNCTION("IMPORTRANGE(""https://docs.google.com/spreadsheets/d/1XL5vhW3sbDhbH9Cz0tuDiY8C3ctxq1tqvaCgkFb8cCA/edit?usp=sharing"",""สกลนคร!J234"")"),473)</f>
        <v>473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IFERROR(__xludf.DUMMYFUNCTION("IMPORTRANGE(""https://docs.google.com/spreadsheets/d/1XL5vhW3sbDhbH9Cz0tuDiY8C3ctxq1tqvaCgkFb8cCA/edit?usp=sharing"",""สกลนคร!I235"")"),4920)</f>
        <v>4920</v>
      </c>
      <c r="J340" s="188">
        <f ca="1">IFERROR(__xludf.DUMMYFUNCTION("IMPORTRANGE(""https://docs.google.com/spreadsheets/d/1XL5vhW3sbDhbH9Cz0tuDiY8C3ctxq1tqvaCgkFb8cCA/edit?usp=sharing"",""สกลนคร!J235"")"),3825.13)</f>
        <v>3825.13</v>
      </c>
      <c r="K340" s="342">
        <f t="shared" ca="1" si="103"/>
        <v>77.746544715447158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IFERROR(__xludf.DUMMYFUNCTION("IMPORTRANGE(""https://docs.google.com/spreadsheets/d/1XL5vhW3sbDhbH9Cz0tuDiY8C3ctxq1tqvaCgkFb8cCA/edit?usp=sharing"",""สกลนคร!I236"")"),610)</f>
        <v>610</v>
      </c>
      <c r="J341" s="188">
        <f ca="1">IFERROR(__xludf.DUMMYFUNCTION("IMPORTRANGE(""https://docs.google.com/spreadsheets/d/1XL5vhW3sbDhbH9Cz0tuDiY8C3ctxq1tqvaCgkFb8cCA/edit?usp=sharing"",""สกลนคร!J236"")"),447)</f>
        <v>447</v>
      </c>
      <c r="K341" s="342">
        <f t="shared" ca="1" si="103"/>
        <v>73.278688524590166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IFERROR(__xludf.DUMMYFUNCTION("IMPORTRANGE(""https://docs.google.com/spreadsheets/d/1XL5vhW3sbDhbH9Cz0tuDiY8C3ctxq1tqvaCgkFb8cCA/edit?usp=sharing"",""สกลนคร!I237"")"),0)</f>
        <v>0</v>
      </c>
      <c r="J342" s="188">
        <f ca="1">IFERROR(__xludf.DUMMYFUNCTION("IMPORTRANGE(""https://docs.google.com/spreadsheets/d/1XL5vhW3sbDhbH9Cz0tuDiY8C3ctxq1tqvaCgkFb8cCA/edit?usp=sharing"",""สกลนคร!J237"")"),3580.69)</f>
        <v>3580.69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IFERROR(__xludf.DUMMYFUNCTION("IMPORTRANGE(""https://docs.google.com/spreadsheets/d/1XL5vhW3sbDhbH9Cz0tuDiY8C3ctxq1tqvaCgkFb8cCA/edit?usp=sharing"",""สกลนคร!I238"")"),610)</f>
        <v>610</v>
      </c>
      <c r="J343" s="188">
        <f ca="1">IFERROR(__xludf.DUMMYFUNCTION("IMPORTRANGE(""https://docs.google.com/spreadsheets/d/1XL5vhW3sbDhbH9Cz0tuDiY8C3ctxq1tqvaCgkFb8cCA/edit?usp=sharing"",""สกลนคร!J238"")"),106)</f>
        <v>106</v>
      </c>
      <c r="K343" s="342">
        <f t="shared" ca="1" si="103"/>
        <v>17.377049180327869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IFERROR(__xludf.DUMMYFUNCTION("IMPORTRANGE(""https://docs.google.com/spreadsheets/d/1XL5vhW3sbDhbH9Cz0tuDiY8C3ctxq1tqvaCgkFb8cCA/edit?usp=sharing"",""สกลนคร!I239"")"),0)</f>
        <v>0</v>
      </c>
      <c r="J344" s="188">
        <f ca="1">IFERROR(__xludf.DUMMYFUNCTION("IMPORTRANGE(""https://docs.google.com/spreadsheets/d/1XL5vhW3sbDhbH9Cz0tuDiY8C3ctxq1tqvaCgkFb8cCA/edit?usp=sharing"",""สกลนคร!J239"")"),825.9)</f>
        <v>825.9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IFERROR(__xludf.DUMMYFUNCTION("IMPORTRANGE(""https://docs.google.com/spreadsheets/d/1XL5vhW3sbDhbH9Cz0tuDiY8C3ctxq1tqvaCgkFb8cCA/edit?usp=sharing"",""สกลนคร!I240"")"),610)</f>
        <v>610</v>
      </c>
      <c r="J345" s="188">
        <f ca="1">IFERROR(__xludf.DUMMYFUNCTION("IMPORTRANGE(""https://docs.google.com/spreadsheets/d/1XL5vhW3sbDhbH9Cz0tuDiY8C3ctxq1tqvaCgkFb8cCA/edit?usp=sharing"",""สกลนคร!J240"")"),15)</f>
        <v>15</v>
      </c>
      <c r="K345" s="342">
        <f t="shared" ca="1" si="103"/>
        <v>2.459016393442623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IFERROR(__xludf.DUMMYFUNCTION("IMPORTRANGE(""https://docs.google.com/spreadsheets/d/1XL5vhW3sbDhbH9Cz0tuDiY8C3ctxq1tqvaCgkFb8cCA/edit?usp=sharing"",""สกลนคร!I241"")"),0)</f>
        <v>0</v>
      </c>
      <c r="J346" s="188">
        <f ca="1">IFERROR(__xludf.DUMMYFUNCTION("IMPORTRANGE(""https://docs.google.com/spreadsheets/d/1XL5vhW3sbDhbH9Cz0tuDiY8C3ctxq1tqvaCgkFb8cCA/edit?usp=sharing"",""สกลนคร!J241"")"),168.98)</f>
        <v>168.98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IFERROR(__xludf.DUMMYFUNCTION("IMPORTRANGE(""https://docs.google.com/spreadsheets/d/1XL5vhW3sbDhbH9Cz0tuDiY8C3ctxq1tqvaCgkFb8cCA/edit?usp=sharing"",""สกลนคร!L242"")"),2306026)</f>
        <v>2306026</v>
      </c>
      <c r="M347" s="358"/>
      <c r="N347" s="358">
        <f ca="1">IFERROR(__xludf.DUMMYFUNCTION("IMPORTRANGE(""https://docs.google.com/spreadsheets/d/1XL5vhW3sbDhbH9Cz0tuDiY8C3ctxq1tqvaCgkFb8cCA/edit?usp=sharing"",""สกลนคร!M242"")"),926033.72)</f>
        <v>926033.72</v>
      </c>
      <c r="O347" s="358">
        <f ca="1">+IF(L347&gt;0,N347*100/L347,0)</f>
        <v>40.157123987327118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IFERROR(__xludf.DUMMYFUNCTION("IMPORTRANGE(""https://docs.google.com/spreadsheets/d/1XL5vhW3sbDhbH9Cz0tuDiY8C3ctxq1tqvaCgkFb8cCA/edit?usp=sharing"",""สกลนคร!I244"")"),116)</f>
        <v>116</v>
      </c>
      <c r="J349" s="371">
        <f ca="1">IFERROR(__xludf.DUMMYFUNCTION("IMPORTRANGE(""https://docs.google.com/spreadsheets/d/1XL5vhW3sbDhbH9Cz0tuDiY8C3ctxq1tqvaCgkFb8cCA/edit?usp=sharing"",""สกลนคร!J244"")"),52)</f>
        <v>52</v>
      </c>
      <c r="K349" s="372">
        <f t="shared" ref="K349:K350" ca="1" si="104">IF(I349&gt;0,J349*100/I349,0)</f>
        <v>44.827586206896555</v>
      </c>
      <c r="L349" s="373">
        <f ca="1">IFERROR(__xludf.DUMMYFUNCTION("IMPORTRANGE(""https://docs.google.com/spreadsheets/d/1XL5vhW3sbDhbH9Cz0tuDiY8C3ctxq1tqvaCgkFb8cCA/edit?usp=sharing"",""สกลนคร!L244"")"),374170)</f>
        <v>374170</v>
      </c>
      <c r="M349" s="373"/>
      <c r="N349" s="373">
        <f ca="1">IFERROR(__xludf.DUMMYFUNCTION("IMPORTRANGE(""https://docs.google.com/spreadsheets/d/1XL5vhW3sbDhbH9Cz0tuDiY8C3ctxq1tqvaCgkFb8cCA/edit?usp=sharing"",""สกลนคร!M244"")"),209552.26)</f>
        <v>209552.26</v>
      </c>
      <c r="O349" s="373">
        <f ca="1">+IF(L349&gt;0,N349*100/L349,0)</f>
        <v>56.004559424860361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IFERROR(__xludf.DUMMYFUNCTION("IMPORTRANGE(""https://docs.google.com/spreadsheets/d/1XL5vhW3sbDhbH9Cz0tuDiY8C3ctxq1tqvaCgkFb8cCA/edit?usp=sharing"",""สกลนคร!I245"")"),61)</f>
        <v>61</v>
      </c>
      <c r="J350" s="371">
        <f ca="1">IFERROR(__xludf.DUMMYFUNCTION("IMPORTRANGE(""https://docs.google.com/spreadsheets/d/1XL5vhW3sbDhbH9Cz0tuDiY8C3ctxq1tqvaCgkFb8cCA/edit?usp=sharing"",""สกลนคร!J245"")"),0)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IFERROR(__xludf.DUMMYFUNCTION("IMPORTRANGE(""https://docs.google.com/spreadsheets/d/1XL5vhW3sbDhbH9Cz0tuDiY8C3ctxq1tqvaCgkFb8cCA/edit?usp=sharing"",""สกลนคร!L246"")"),0)</f>
        <v>0</v>
      </c>
      <c r="M351" s="164"/>
      <c r="N351" s="164">
        <f ca="1">IFERROR(__xludf.DUMMYFUNCTION("IMPORTRANGE(""https://docs.google.com/spreadsheets/d/1XL5vhW3sbDhbH9Cz0tuDiY8C3ctxq1tqvaCgkFb8cCA/edit?usp=sharing"",""สกลนคร!M246"")"),0)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IFERROR(__xludf.DUMMYFUNCTION("IMPORTRANGE(""https://docs.google.com/spreadsheets/d/1XL5vhW3sbDhbH9Cz0tuDiY8C3ctxq1tqvaCgkFb8cCA/edit?usp=sharing"",""สกลนคร!L247"")"),374170)</f>
        <v>374170</v>
      </c>
      <c r="M352" s="165"/>
      <c r="N352" s="164">
        <f ca="1">IFERROR(__xludf.DUMMYFUNCTION("IMPORTRANGE(""https://docs.google.com/spreadsheets/d/1XL5vhW3sbDhbH9Cz0tuDiY8C3ctxq1tqvaCgkFb8cCA/edit?usp=sharing"",""สกลนคร!M247"")"),209552.26)</f>
        <v>209552.26</v>
      </c>
      <c r="O352" s="165">
        <f t="shared" ca="1" si="105"/>
        <v>56.004559424860361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IFERROR(__xludf.DUMMYFUNCTION("IMPORTRANGE(""https://docs.google.com/spreadsheets/d/1XL5vhW3sbDhbH9Cz0tuDiY8C3ctxq1tqvaCgkFb8cCA/edit?usp=sharing"",""สกลนคร!L248"")"),0)</f>
        <v>0</v>
      </c>
      <c r="M353" s="169"/>
      <c r="N353" s="169">
        <f ca="1">IFERROR(__xludf.DUMMYFUNCTION("IMPORTRANGE(""https://docs.google.com/spreadsheets/d/1XL5vhW3sbDhbH9Cz0tuDiY8C3ctxq1tqvaCgkFb8cCA/edit?usp=sharing"",""สกลนคร!M248"")"),0)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IFERROR(__xludf.DUMMYFUNCTION("IMPORTRANGE(""https://docs.google.com/spreadsheets/d/1XL5vhW3sbDhbH9Cz0tuDiY8C3ctxq1tqvaCgkFb8cCA/edit?usp=sharing"",""สกลนคร!L249"")"),374170)</f>
        <v>374170</v>
      </c>
      <c r="M354" s="169"/>
      <c r="N354" s="168">
        <f ca="1">IFERROR(__xludf.DUMMYFUNCTION("IMPORTRANGE(""https://docs.google.com/spreadsheets/d/1XL5vhW3sbDhbH9Cz0tuDiY8C3ctxq1tqvaCgkFb8cCA/edit?usp=sharing"",""สกลนคร!M249"")"),209552.26)</f>
        <v>209552.26</v>
      </c>
      <c r="O354" s="169">
        <f t="shared" ca="1" si="105"/>
        <v>56.004559424860361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IFERROR(__xludf.DUMMYFUNCTION("IMPORTRANGE(""https://docs.google.com/spreadsheets/d/1XL5vhW3sbDhbH9Cz0tuDiY8C3ctxq1tqvaCgkFb8cCA/edit?usp=sharing"",""สกลนคร!M250"")"),74340)</f>
        <v>74340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IFERROR(__xludf.DUMMYFUNCTION("IMPORTRANGE(""https://docs.google.com/spreadsheets/d/1XL5vhW3sbDhbH9Cz0tuDiY8C3ctxq1tqvaCgkFb8cCA/edit?usp=sharing"",""สกลนคร!M251"")"),40377.26)</f>
        <v>40377.26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IFERROR(__xludf.DUMMYFUNCTION("IMPORTRANGE(""https://docs.google.com/spreadsheets/d/1XL5vhW3sbDhbH9Cz0tuDiY8C3ctxq1tqvaCgkFb8cCA/edit?usp=sharing"",""สกลนคร!M252"")"),79000)</f>
        <v>79000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IFERROR(__xludf.DUMMYFUNCTION("IMPORTRANGE(""https://docs.google.com/spreadsheets/d/1XL5vhW3sbDhbH9Cz0tuDiY8C3ctxq1tqvaCgkFb8cCA/edit?usp=sharing"",""สกลนคร!M253"")"),15835)</f>
        <v>15835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IFERROR(__xludf.DUMMYFUNCTION("IMPORTRANGE(""https://docs.google.com/spreadsheets/d/1XL5vhW3sbDhbH9Cz0tuDiY8C3ctxq1tqvaCgkFb8cCA/edit?usp=sharing"",""สกลนคร!J255"")"),0)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IFERROR(__xludf.DUMMYFUNCTION("IMPORTRANGE(""https://docs.google.com/spreadsheets/d/1XL5vhW3sbDhbH9Cz0tuDiY8C3ctxq1tqvaCgkFb8cCA/edit?usp=sharing"",""สกลนคร!J256"")"),1)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IFERROR(__xludf.DUMMYFUNCTION("IMPORTRANGE(""https://docs.google.com/spreadsheets/d/1XL5vhW3sbDhbH9Cz0tuDiY8C3ctxq1tqvaCgkFb8cCA/edit?usp=sharing"",""สกลนคร!J257"")"),1)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IFERROR(__xludf.DUMMYFUNCTION("IMPORTRANGE(""https://docs.google.com/spreadsheets/d/1XL5vhW3sbDhbH9Cz0tuDiY8C3ctxq1tqvaCgkFb8cCA/edit?usp=sharing"",""สกลนคร!J258"")"),1)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IFERROR(__xludf.DUMMYFUNCTION("IMPORTRANGE(""https://docs.google.com/spreadsheets/d/1XL5vhW3sbDhbH9Cz0tuDiY8C3ctxq1tqvaCgkFb8cCA/edit?usp=sharing"",""สกลนคร!J166"")"),0)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IFERROR(__xludf.DUMMYFUNCTION("IMPORTRANGE(""https://docs.google.com/spreadsheets/d/1XL5vhW3sbDhbH9Cz0tuDiY8C3ctxq1tqvaCgkFb8cCA/edit?usp=sharing"",""สกลนคร!J166"")"),0)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IFERROR(__xludf.DUMMYFUNCTION("IMPORTRANGE(""https://docs.google.com/spreadsheets/d/1XL5vhW3sbDhbH9Cz0tuDiY8C3ctxq1tqvaCgkFb8cCA/edit?usp=sharing"",""สกลนคร!J166"")"),0)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IFERROR(__xludf.DUMMYFUNCTION("IMPORTRANGE(""https://docs.google.com/spreadsheets/d/1XL5vhW3sbDhbH9Cz0tuDiY8C3ctxq1tqvaCgkFb8cCA/edit?usp=sharing"",""สกลนคร!J166"")"),0)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IFERROR(__xludf.DUMMYFUNCTION("IMPORTRANGE(""https://docs.google.com/spreadsheets/d/1XL5vhW3sbDhbH9Cz0tuDiY8C3ctxq1tqvaCgkFb8cCA/edit?usp=sharing"",""สกลนคร!I263"")"),61)</f>
        <v>61</v>
      </c>
      <c r="J368" s="188">
        <f ca="1">IFERROR(__xludf.DUMMYFUNCTION("IMPORTRANGE(""https://docs.google.com/spreadsheets/d/1XL5vhW3sbDhbH9Cz0tuDiY8C3ctxq1tqvaCgkFb8cCA/edit?usp=sharing"",""สกลนคร!J263"")"),0)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IFERROR(__xludf.DUMMYFUNCTION("IMPORTRANGE(""https://docs.google.com/spreadsheets/d/1XL5vhW3sbDhbH9Cz0tuDiY8C3ctxq1tqvaCgkFb8cCA/edit?usp=sharing"",""สกลนคร!I164"")"),0)</f>
        <v>0</v>
      </c>
      <c r="J369" s="204">
        <f ca="1">IFERROR(__xludf.DUMMYFUNCTION("IMPORTRANGE(""https://docs.google.com/spreadsheets/d/1XL5vhW3sbDhbH9Cz0tuDiY8C3ctxq1tqvaCgkFb8cCA/edit?usp=sharing"",""สกลนคร!J164"")"),0)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293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IFERROR(__xludf.DUMMYFUNCTION("IMPORTRANGE(""https://docs.google.com/spreadsheets/d/1XL5vhW3sbDhbH9Cz0tuDiY8C3ctxq1tqvaCgkFb8cCA/edit?usp=sharing"",""สกลนคร!I265"")"),61)</f>
        <v>61</v>
      </c>
      <c r="J370" s="204">
        <f ca="1">IFERROR(__xludf.DUMMYFUNCTION("IMPORTRANGE(""https://docs.google.com/spreadsheets/d/1XL5vhW3sbDhbH9Cz0tuDiY8C3ctxq1tqvaCgkFb8cCA/edit?usp=sharing"",""สกลนคร!J265"")"),29)</f>
        <v>29</v>
      </c>
      <c r="K370" s="163">
        <f t="shared" ca="1" si="106"/>
        <v>47.540983606557376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IFERROR(__xludf.DUMMYFUNCTION("IMPORTRANGE(""https://docs.google.com/spreadsheets/d/1XL5vhW3sbDhbH9Cz0tuDiY8C3ctxq1tqvaCgkFb8cCA/edit?usp=sharing"",""สกลนคร!I164"")"),0)</f>
        <v>0</v>
      </c>
      <c r="J371" s="189">
        <f ca="1">IFERROR(__xludf.DUMMYFUNCTION("IMPORTRANGE(""https://docs.google.com/spreadsheets/d/1XL5vhW3sbDhbH9Cz0tuDiY8C3ctxq1tqvaCgkFb8cCA/edit?usp=sharing"",""สกลนคร!J164"")"),0)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293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IFERROR(__xludf.DUMMYFUNCTION("IMPORTRANGE(""https://docs.google.com/spreadsheets/d/1XL5vhW3sbDhbH9Cz0tuDiY8C3ctxq1tqvaCgkFb8cCA/edit?usp=sharing"",""สกลนคร!I267"")"),61)</f>
        <v>61</v>
      </c>
      <c r="J372" s="189">
        <f ca="1">IFERROR(__xludf.DUMMYFUNCTION("IMPORTRANGE(""https://docs.google.com/spreadsheets/d/1XL5vhW3sbDhbH9Cz0tuDiY8C3ctxq1tqvaCgkFb8cCA/edit?usp=sharing"",""สกลนคร!J267"")"),24)</f>
        <v>24</v>
      </c>
      <c r="K372" s="163">
        <f t="shared" ca="1" si="106"/>
        <v>39.344262295081968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IFERROR(__xludf.DUMMYFUNCTION("IMPORTRANGE(""https://docs.google.com/spreadsheets/d/1XL5vhW3sbDhbH9Cz0tuDiY8C3ctxq1tqvaCgkFb8cCA/edit?usp=sharing"",""สกลนคร!I164"")"),0)</f>
        <v>0</v>
      </c>
      <c r="J373" s="204">
        <f ca="1">IFERROR(__xludf.DUMMYFUNCTION("IMPORTRANGE(""https://docs.google.com/spreadsheets/d/1XL5vhW3sbDhbH9Cz0tuDiY8C3ctxq1tqvaCgkFb8cCA/edit?usp=sharing"",""สกลนคร!J164"")"),0)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IFERROR(__xludf.DUMMYFUNCTION("IMPORTRANGE(""https://docs.google.com/spreadsheets/d/1XL5vhW3sbDhbH9Cz0tuDiY8C3ctxq1tqvaCgkFb8cCA/edit?usp=sharing"",""สกลนคร!I164"")"),0)</f>
        <v>0</v>
      </c>
      <c r="J374" s="188">
        <f ca="1">IFERROR(__xludf.DUMMYFUNCTION("IMPORTRANGE(""https://docs.google.com/spreadsheets/d/1XL5vhW3sbDhbH9Cz0tuDiY8C3ctxq1tqvaCgkFb8cCA/edit?usp=sharing"",""สกลนคร!J164"")"),0)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IFERROR(__xludf.DUMMYFUNCTION("IMPORTRANGE(""https://docs.google.com/spreadsheets/d/1XL5vhW3sbDhbH9Cz0tuDiY8C3ctxq1tqvaCgkFb8cCA/edit?usp=sharing"",""สกลนคร!I270"")"),116)</f>
        <v>116</v>
      </c>
      <c r="J375" s="188">
        <f ca="1">IFERROR(__xludf.DUMMYFUNCTION("IMPORTRANGE(""https://docs.google.com/spreadsheets/d/1XL5vhW3sbDhbH9Cz0tuDiY8C3ctxq1tqvaCgkFb8cCA/edit?usp=sharing"",""สกลนคร!J270"")"),52)</f>
        <v>52</v>
      </c>
      <c r="K375" s="163">
        <f t="shared" ref="K375:K377" ca="1" si="107">IF(I375&gt;0,J375*100/I375,0)</f>
        <v>44.827586206896555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IFERROR(__xludf.DUMMYFUNCTION("IMPORTRANGE(""https://docs.google.com/spreadsheets/d/1XL5vhW3sbDhbH9Cz0tuDiY8C3ctxq1tqvaCgkFb8cCA/edit?usp=sharing"",""สกลนคร!I271"")"),34)</f>
        <v>34</v>
      </c>
      <c r="J376" s="189">
        <f ca="1">IFERROR(__xludf.DUMMYFUNCTION("IMPORTRANGE(""https://docs.google.com/spreadsheets/d/1XL5vhW3sbDhbH9Cz0tuDiY8C3ctxq1tqvaCgkFb8cCA/edit?usp=sharing"",""สกลนคร!J271"")"),0)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IFERROR(__xludf.DUMMYFUNCTION("IMPORTRANGE(""https://docs.google.com/spreadsheets/d/1XL5vhW3sbDhbH9Cz0tuDiY8C3ctxq1tqvaCgkFb8cCA/edit?usp=sharing"",""สกลนคร!I272"")"),82)</f>
        <v>82</v>
      </c>
      <c r="J377" s="204">
        <f ca="1">IFERROR(__xludf.DUMMYFUNCTION("IMPORTRANGE(""https://docs.google.com/spreadsheets/d/1XL5vhW3sbDhbH9Cz0tuDiY8C3ctxq1tqvaCgkFb8cCA/edit?usp=sharing"",""สกลนคร!J272"")"),52)</f>
        <v>52</v>
      </c>
      <c r="K377" s="163">
        <f t="shared" ca="1" si="107"/>
        <v>63.414634146341463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IFERROR(__xludf.DUMMYFUNCTION("IMPORTRANGE(""https://docs.google.com/spreadsheets/d/1XL5vhW3sbDhbH9Cz0tuDiY8C3ctxq1tqvaCgkFb8cCA/edit?usp=sharing"",""สกลนคร!J273"")"),0)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IFERROR(__xludf.DUMMYFUNCTION("IMPORTRANGE(""https://docs.google.com/spreadsheets/d/1XL5vhW3sbDhbH9Cz0tuDiY8C3ctxq1tqvaCgkFb8cCA/edit?usp=sharing"",""สกลนคร!J274"")"),0)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IFERROR(__xludf.DUMMYFUNCTION("IMPORTRANGE(""https://docs.google.com/spreadsheets/d/1XL5vhW3sbDhbH9Cz0tuDiY8C3ctxq1tqvaCgkFb8cCA/edit?usp=sharing"",""สกลนคร!I275"")"),500)</f>
        <v>500</v>
      </c>
      <c r="J380" s="371">
        <f ca="1">IFERROR(__xludf.DUMMYFUNCTION("IMPORTRANGE(""https://docs.google.com/spreadsheets/d/1XL5vhW3sbDhbH9Cz0tuDiY8C3ctxq1tqvaCgkFb8cCA/edit?usp=sharing"",""สกลนคร!J275"")"),500)</f>
        <v>500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IFERROR(__xludf.DUMMYFUNCTION("IMPORTRANGE(""https://docs.google.com/spreadsheets/d/1XL5vhW3sbDhbH9Cz0tuDiY8C3ctxq1tqvaCgkFb8cCA/edit?usp=sharing"",""สกลนคร!L275"")"),460140)</f>
        <v>460140</v>
      </c>
      <c r="M380" s="373"/>
      <c r="N380" s="373">
        <f ca="1">IFERROR(__xludf.DUMMYFUNCTION("IMPORTRANGE(""https://docs.google.com/spreadsheets/d/1XL5vhW3sbDhbH9Cz0tuDiY8C3ctxq1tqvaCgkFb8cCA/edit?usp=sharing"",""สกลนคร!M275"")"),36250)</f>
        <v>36250</v>
      </c>
      <c r="O380" s="373">
        <f ca="1">+IF(L380&gt;0,N380*100/L380,0)</f>
        <v>7.8780371191376535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IFERROR(__xludf.DUMMYFUNCTION("IMPORTRANGE(""https://docs.google.com/spreadsheets/d/1XL5vhW3sbDhbH9Cz0tuDiY8C3ctxq1tqvaCgkFb8cCA/edit?usp=sharing"",""สกลนคร!I276"")"),50)</f>
        <v>50</v>
      </c>
      <c r="J381" s="371">
        <f ca="1">IFERROR(__xludf.DUMMYFUNCTION("IMPORTRANGE(""https://docs.google.com/spreadsheets/d/1XL5vhW3sbDhbH9Cz0tuDiY8C3ctxq1tqvaCgkFb8cCA/edit?usp=sharing"",""สกลนคร!J276"")"),50)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IFERROR(__xludf.DUMMYFUNCTION("IMPORTRANGE(""https://docs.google.com/spreadsheets/d/1XL5vhW3sbDhbH9Cz0tuDiY8C3ctxq1tqvaCgkFb8cCA/edit?usp=sharing"",""สกลนคร!L277"")"),0)</f>
        <v>0</v>
      </c>
      <c r="M382" s="164"/>
      <c r="N382" s="164">
        <f ca="1">IFERROR(__xludf.DUMMYFUNCTION("IMPORTRANGE(""https://docs.google.com/spreadsheets/d/1XL5vhW3sbDhbH9Cz0tuDiY8C3ctxq1tqvaCgkFb8cCA/edit?usp=sharing"",""สกลนคร!M277"")"),0)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IFERROR(__xludf.DUMMYFUNCTION("IMPORTRANGE(""https://docs.google.com/spreadsheets/d/1XL5vhW3sbDhbH9Cz0tuDiY8C3ctxq1tqvaCgkFb8cCA/edit?usp=sharing"",""สกลนคร!L278"")"),460140)</f>
        <v>460140</v>
      </c>
      <c r="M383" s="165"/>
      <c r="N383" s="165">
        <f ca="1">IFERROR(__xludf.DUMMYFUNCTION("IMPORTRANGE(""https://docs.google.com/spreadsheets/d/1XL5vhW3sbDhbH9Cz0tuDiY8C3ctxq1tqvaCgkFb8cCA/edit?usp=sharing"",""สกลนคร!M278"")"),36250)</f>
        <v>36250</v>
      </c>
      <c r="O383" s="165">
        <f t="shared" ca="1" si="109"/>
        <v>7.8780371191376535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IFERROR(__xludf.DUMMYFUNCTION("IMPORTRANGE(""https://docs.google.com/spreadsheets/d/1XL5vhW3sbDhbH9Cz0tuDiY8C3ctxq1tqvaCgkFb8cCA/edit?usp=sharing"",""สกลนคร!L279"")"),0)</f>
        <v>0</v>
      </c>
      <c r="M384" s="169"/>
      <c r="N384" s="169">
        <f ca="1">IFERROR(__xludf.DUMMYFUNCTION("IMPORTRANGE(""https://docs.google.com/spreadsheets/d/1XL5vhW3sbDhbH9Cz0tuDiY8C3ctxq1tqvaCgkFb8cCA/edit?usp=sharing"",""สกลนคร!M279"")"),0)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IFERROR(__xludf.DUMMYFUNCTION("IMPORTRANGE(""https://docs.google.com/spreadsheets/d/1XL5vhW3sbDhbH9Cz0tuDiY8C3ctxq1tqvaCgkFb8cCA/edit?usp=sharing"",""สกลนคร!L280"")"),460140)</f>
        <v>460140</v>
      </c>
      <c r="M385" s="169"/>
      <c r="N385" s="168">
        <f ca="1">IFERROR(__xludf.DUMMYFUNCTION("IMPORTRANGE(""https://docs.google.com/spreadsheets/d/1XL5vhW3sbDhbH9Cz0tuDiY8C3ctxq1tqvaCgkFb8cCA/edit?usp=sharing"",""สกลนคร!M280"")"),36250)</f>
        <v>36250</v>
      </c>
      <c r="O385" s="169">
        <f t="shared" ca="1" si="109"/>
        <v>7.8780371191376535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IFERROR(__xludf.DUMMYFUNCTION("IMPORTRANGE(""https://docs.google.com/spreadsheets/d/1XL5vhW3sbDhbH9Cz0tuDiY8C3ctxq1tqvaCgkFb8cCA/edit?usp=sharing"",""สกลนคร!M281"")"),36250)</f>
        <v>36250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IFERROR(__xludf.DUMMYFUNCTION("IMPORTRANGE(""https://docs.google.com/spreadsheets/d/1XL5vhW3sbDhbH9Cz0tuDiY8C3ctxq1tqvaCgkFb8cCA/edit?usp=sharing"",""สกลนคร!M282"")"),0)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IFERROR(__xludf.DUMMYFUNCTION("IMPORTRANGE(""https://docs.google.com/spreadsheets/d/1XL5vhW3sbDhbH9Cz0tuDiY8C3ctxq1tqvaCgkFb8cCA/edit?usp=sharing"",""สกลนคร!M283"")"),0)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IFERROR(__xludf.DUMMYFUNCTION("IMPORTRANGE(""https://docs.google.com/spreadsheets/d/1XL5vhW3sbDhbH9Cz0tuDiY8C3ctxq1tqvaCgkFb8cCA/edit?usp=sharing"",""สกลนคร!M284"")"),0)</f>
        <v>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IFERROR(__xludf.DUMMYFUNCTION("IMPORTRANGE(""https://docs.google.com/spreadsheets/d/1XL5vhW3sbDhbH9Cz0tuDiY8C3ctxq1tqvaCgkFb8cCA/edit?usp=sharing"",""สกลนคร!J286"")"),0)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IFERROR(__xludf.DUMMYFUNCTION("IMPORTRANGE(""https://docs.google.com/spreadsheets/d/1XL5vhW3sbDhbH9Cz0tuDiY8C3ctxq1tqvaCgkFb8cCA/edit?usp=sharing"",""สกลนคร!J287"")"),1)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IFERROR(__xludf.DUMMYFUNCTION("IMPORTRANGE(""https://docs.google.com/spreadsheets/d/1XL5vhW3sbDhbH9Cz0tuDiY8C3ctxq1tqvaCgkFb8cCA/edit?usp=sharing"",""สกลนคร!J288"")"),1)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IFERROR(__xludf.DUMMYFUNCTION("IMPORTRANGE(""https://docs.google.com/spreadsheets/d/1XL5vhW3sbDhbH9Cz0tuDiY8C3ctxq1tqvaCgkFb8cCA/edit?usp=sharing"",""สกลนคร!J289"")"),1)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IFERROR(__xludf.DUMMYFUNCTION("IMPORTRANGE(""https://docs.google.com/spreadsheets/d/1XL5vhW3sbDhbH9Cz0tuDiY8C3ctxq1tqvaCgkFb8cCA/edit?usp=sharing"",""สกลนคร!I291"")"),50)</f>
        <v>50</v>
      </c>
      <c r="J396" s="198">
        <f ca="1">IFERROR(__xludf.DUMMYFUNCTION("IMPORTRANGE(""https://docs.google.com/spreadsheets/d/1XL5vhW3sbDhbH9Cz0tuDiY8C3ctxq1tqvaCgkFb8cCA/edit?usp=sharing"",""สกลนคร!J291"")"),50)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IFERROR(__xludf.DUMMYFUNCTION("IMPORTRANGE(""https://docs.google.com/spreadsheets/d/1XL5vhW3sbDhbH9Cz0tuDiY8C3ctxq1tqvaCgkFb8cCA/edit?usp=sharing"",""สกลนคร!I292"")"),500)</f>
        <v>500</v>
      </c>
      <c r="J397" s="198">
        <f ca="1">IFERROR(__xludf.DUMMYFUNCTION("IMPORTRANGE(""https://docs.google.com/spreadsheets/d/1XL5vhW3sbDhbH9Cz0tuDiY8C3ctxq1tqvaCgkFb8cCA/edit?usp=sharing"",""สกลนคร!J292"")"),500)</f>
        <v>500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IFERROR(__xludf.DUMMYFUNCTION("IMPORTRANGE(""https://docs.google.com/spreadsheets/d/1XL5vhW3sbDhbH9Cz0tuDiY8C3ctxq1tqvaCgkFb8cCA/edit?usp=sharing"",""สกลนคร!I293"")"),50)</f>
        <v>50</v>
      </c>
      <c r="J398" s="198">
        <f ca="1">IFERROR(__xludf.DUMMYFUNCTION("IMPORTRANGE(""https://docs.google.com/spreadsheets/d/1XL5vhW3sbDhbH9Cz0tuDiY8C3ctxq1tqvaCgkFb8cCA/edit?usp=sharing"",""สกลนคร!J293"")"),50)</f>
        <v>50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IFERROR(__xludf.DUMMYFUNCTION("IMPORTRANGE(""https://docs.google.com/spreadsheets/d/1XL5vhW3sbDhbH9Cz0tuDiY8C3ctxq1tqvaCgkFb8cCA/edit?usp=sharing"",""สกลนคร!J294"")"),0)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IFERROR(__xludf.DUMMYFUNCTION("IMPORTRANGE(""https://docs.google.com/spreadsheets/d/1XL5vhW3sbDhbH9Cz0tuDiY8C3ctxq1tqvaCgkFb8cCA/edit?usp=sharing"",""สกลนคร!J295"")"),0)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IFERROR(__xludf.DUMMYFUNCTION("IMPORTRANGE(""https://docs.google.com/spreadsheets/d/1XL5vhW3sbDhbH9Cz0tuDiY8C3ctxq1tqvaCgkFb8cCA/edit?usp=sharing"",""สกลนคร!I296"")"),186)</f>
        <v>186</v>
      </c>
      <c r="J401" s="371">
        <f ca="1">IFERROR(__xludf.DUMMYFUNCTION("IMPORTRANGE(""https://docs.google.com/spreadsheets/d/1XL5vhW3sbDhbH9Cz0tuDiY8C3ctxq1tqvaCgkFb8cCA/edit?usp=sharing"",""สกลนคร!J296"")"),186)</f>
        <v>186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IFERROR(__xludf.DUMMYFUNCTION("IMPORTRANGE(""https://docs.google.com/spreadsheets/d/1XL5vhW3sbDhbH9Cz0tuDiY8C3ctxq1tqvaCgkFb8cCA/edit?usp=sharing"",""สกลนคร!L296"")"),208700)</f>
        <v>208700</v>
      </c>
      <c r="M401" s="373"/>
      <c r="N401" s="373">
        <f ca="1">IFERROR(__xludf.DUMMYFUNCTION("IMPORTRANGE(""https://docs.google.com/spreadsheets/d/1XL5vhW3sbDhbH9Cz0tuDiY8C3ctxq1tqvaCgkFb8cCA/edit?usp=sharing"",""สกลนคร!M296"")"),140343.2)</f>
        <v>140343.20000000001</v>
      </c>
      <c r="O401" s="373">
        <f ca="1">+IF(L401&gt;0,N401*100/L401,0)</f>
        <v>67.24638236703403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IFERROR(__xludf.DUMMYFUNCTION("IMPORTRANGE(""https://docs.google.com/spreadsheets/d/1XL5vhW3sbDhbH9Cz0tuDiY8C3ctxq1tqvaCgkFb8cCA/edit?usp=sharing"",""สกลนคร!I297"")"),62)</f>
        <v>62</v>
      </c>
      <c r="J402" s="371">
        <f ca="1">IFERROR(__xludf.DUMMYFUNCTION("IMPORTRANGE(""https://docs.google.com/spreadsheets/d/1XL5vhW3sbDhbH9Cz0tuDiY8C3ctxq1tqvaCgkFb8cCA/edit?usp=sharing"",""สกลนคร!J297"")"),62)</f>
        <v>62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IFERROR(__xludf.DUMMYFUNCTION("IMPORTRANGE(""https://docs.google.com/spreadsheets/d/1XL5vhW3sbDhbH9Cz0tuDiY8C3ctxq1tqvaCgkFb8cCA/edit?usp=sharing"",""สกลนคร!L298"")"),0)</f>
        <v>0</v>
      </c>
      <c r="M403" s="164"/>
      <c r="N403" s="169">
        <f ca="1">IFERROR(__xludf.DUMMYFUNCTION("IMPORTRANGE(""https://docs.google.com/spreadsheets/d/1XL5vhW3sbDhbH9Cz0tuDiY8C3ctxq1tqvaCgkFb8cCA/edit?usp=sharing"",""สกลนคร!M298"")"),0)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IFERROR(__xludf.DUMMYFUNCTION("IMPORTRANGE(""https://docs.google.com/spreadsheets/d/1XL5vhW3sbDhbH9Cz0tuDiY8C3ctxq1tqvaCgkFb8cCA/edit?usp=sharing"",""สกลนคร!L299"")"),208700)</f>
        <v>208700</v>
      </c>
      <c r="M404" s="165"/>
      <c r="N404" s="169">
        <f ca="1">IFERROR(__xludf.DUMMYFUNCTION("IMPORTRANGE(""https://docs.google.com/spreadsheets/d/1XL5vhW3sbDhbH9Cz0tuDiY8C3ctxq1tqvaCgkFb8cCA/edit?usp=sharing"",""สกลนคร!M299"")"),140343.2)</f>
        <v>140343.20000000001</v>
      </c>
      <c r="O404" s="169">
        <f t="shared" ca="1" si="112"/>
        <v>67.24638236703403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IFERROR(__xludf.DUMMYFUNCTION("IMPORTRANGE(""https://docs.google.com/spreadsheets/d/1XL5vhW3sbDhbH9Cz0tuDiY8C3ctxq1tqvaCgkFb8cCA/edit?usp=sharing"",""สกลนคร!L300"")"),0)</f>
        <v>0</v>
      </c>
      <c r="M405" s="169"/>
      <c r="N405" s="169">
        <f ca="1">IFERROR(__xludf.DUMMYFUNCTION("IMPORTRANGE(""https://docs.google.com/spreadsheets/d/1XL5vhW3sbDhbH9Cz0tuDiY8C3ctxq1tqvaCgkFb8cCA/edit?usp=sharing"",""สกลนคร!M300"")"),0)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IFERROR(__xludf.DUMMYFUNCTION("IMPORTRANGE(""https://docs.google.com/spreadsheets/d/1XL5vhW3sbDhbH9Cz0tuDiY8C3ctxq1tqvaCgkFb8cCA/edit?usp=sharing"",""สกลนคร!L301"")"),208700)</f>
        <v>208700</v>
      </c>
      <c r="M406" s="169"/>
      <c r="N406" s="169">
        <f ca="1">IFERROR(__xludf.DUMMYFUNCTION("IMPORTRANGE(""https://docs.google.com/spreadsheets/d/1XL5vhW3sbDhbH9Cz0tuDiY8C3ctxq1tqvaCgkFb8cCA/edit?usp=sharing"",""สกลนคร!M301"")"),140343.2)</f>
        <v>140343.20000000001</v>
      </c>
      <c r="O406" s="169">
        <f t="shared" ca="1" si="112"/>
        <v>67.24638236703403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IFERROR(__xludf.DUMMYFUNCTION("IMPORTRANGE(""https://docs.google.com/spreadsheets/d/1XL5vhW3sbDhbH9Cz0tuDiY8C3ctxq1tqvaCgkFb8cCA/edit?usp=sharing"",""สกลนคร!M302"")"),124660)</f>
        <v>124660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IFERROR(__xludf.DUMMYFUNCTION("IMPORTRANGE(""https://docs.google.com/spreadsheets/d/1XL5vhW3sbDhbH9Cz0tuDiY8C3ctxq1tqvaCgkFb8cCA/edit?usp=sharing"",""สกลนคร!M303"")"),0)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IFERROR(__xludf.DUMMYFUNCTION("IMPORTRANGE(""https://docs.google.com/spreadsheets/d/1XL5vhW3sbDhbH9Cz0tuDiY8C3ctxq1tqvaCgkFb8cCA/edit?usp=sharing"",""สกลนคร!M304"")"),0)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IFERROR(__xludf.DUMMYFUNCTION("IMPORTRANGE(""https://docs.google.com/spreadsheets/d/1XL5vhW3sbDhbH9Cz0tuDiY8C3ctxq1tqvaCgkFb8cCA/edit?usp=sharing"",""สกลนคร!M305"")"),15683.2)</f>
        <v>15683.2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IFERROR(__xludf.DUMMYFUNCTION("IMPORTRANGE(""https://docs.google.com/spreadsheets/d/1XL5vhW3sbDhbH9Cz0tuDiY8C3ctxq1tqvaCgkFb8cCA/edit?usp=sharing"",""สกลนคร!J307"")"),0)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IFERROR(__xludf.DUMMYFUNCTION("IMPORTRANGE(""https://docs.google.com/spreadsheets/d/1XL5vhW3sbDhbH9Cz0tuDiY8C3ctxq1tqvaCgkFb8cCA/edit?usp=sharing"",""สกลนคร!J308"")"),1)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IFERROR(__xludf.DUMMYFUNCTION("IMPORTRANGE(""https://docs.google.com/spreadsheets/d/1XL5vhW3sbDhbH9Cz0tuDiY8C3ctxq1tqvaCgkFb8cCA/edit?usp=sharing"",""สกลนคร!J309"")"),1)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IFERROR(__xludf.DUMMYFUNCTION("IMPORTRANGE(""https://docs.google.com/spreadsheets/d/1XL5vhW3sbDhbH9Cz0tuDiY8C3ctxq1tqvaCgkFb8cCA/edit?usp=sharing"",""สกลนคร!J310"")"),1)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IFERROR(__xludf.DUMMYFUNCTION("IMPORTRANGE(""https://docs.google.com/spreadsheets/d/1XL5vhW3sbDhbH9Cz0tuDiY8C3ctxq1tqvaCgkFb8cCA/edit?usp=sharing"",""สกลนคร!I311"")"),62)</f>
        <v>62</v>
      </c>
      <c r="J416" s="201">
        <f ca="1">IFERROR(__xludf.DUMMYFUNCTION("IMPORTRANGE(""https://docs.google.com/spreadsheets/d/1XL5vhW3sbDhbH9Cz0tuDiY8C3ctxq1tqvaCgkFb8cCA/edit?usp=sharing"",""สกลนคร!J311"")"),62)</f>
        <v>62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IFERROR(__xludf.DUMMYFUNCTION("IMPORTRANGE(""https://docs.google.com/spreadsheets/d/1XL5vhW3sbDhbH9Cz0tuDiY8C3ctxq1tqvaCgkFb8cCA/edit?usp=sharing"",""สกลนคร!I312"")"),20)</f>
        <v>20</v>
      </c>
      <c r="J417" s="392">
        <f ca="1">IFERROR(__xludf.DUMMYFUNCTION("IMPORTRANGE(""https://docs.google.com/spreadsheets/d/1XL5vhW3sbDhbH9Cz0tuDiY8C3ctxq1tqvaCgkFb8cCA/edit?usp=sharing"",""สกลนคร!J312"")"),20)</f>
        <v>20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IFERROR(__xludf.DUMMYFUNCTION("IMPORTRANGE(""https://docs.google.com/spreadsheets/d/1XL5vhW3sbDhbH9Cz0tuDiY8C3ctxq1tqvaCgkFb8cCA/edit?usp=sharing"",""สกลนคร!I313"")"),60)</f>
        <v>60</v>
      </c>
      <c r="J418" s="393">
        <f ca="1">IFERROR(__xludf.DUMMYFUNCTION("IMPORTRANGE(""https://docs.google.com/spreadsheets/d/1XL5vhW3sbDhbH9Cz0tuDiY8C3ctxq1tqvaCgkFb8cCA/edit?usp=sharing"",""สกลนคร!J313"")"),60)</f>
        <v>60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IFERROR(__xludf.DUMMYFUNCTION("IMPORTRANGE(""https://docs.google.com/spreadsheets/d/1XL5vhW3sbDhbH9Cz0tuDiY8C3ctxq1tqvaCgkFb8cCA/edit?usp=sharing"",""สกลนคร!I314"")"),20)</f>
        <v>20</v>
      </c>
      <c r="J419" s="394">
        <f ca="1">IFERROR(__xludf.DUMMYFUNCTION("IMPORTRANGE(""https://docs.google.com/spreadsheets/d/1XL5vhW3sbDhbH9Cz0tuDiY8C3ctxq1tqvaCgkFb8cCA/edit?usp=sharing"",""สกลนคร!J314"")"),20)</f>
        <v>20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IFERROR(__xludf.DUMMYFUNCTION("IMPORTRANGE(""https://docs.google.com/spreadsheets/d/1XL5vhW3sbDhbH9Cz0tuDiY8C3ctxq1tqvaCgkFb8cCA/edit?usp=sharing"",""สกลนคร!I315"")"),20)</f>
        <v>20</v>
      </c>
      <c r="J420" s="394">
        <f ca="1">IFERROR(__xludf.DUMMYFUNCTION("IMPORTRANGE(""https://docs.google.com/spreadsheets/d/1XL5vhW3sbDhbH9Cz0tuDiY8C3ctxq1tqvaCgkFb8cCA/edit?usp=sharing"",""สกลนคร!J315"")"),20)</f>
        <v>20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IFERROR(__xludf.DUMMYFUNCTION("IMPORTRANGE(""https://docs.google.com/spreadsheets/d/1XL5vhW3sbDhbH9Cz0tuDiY8C3ctxq1tqvaCgkFb8cCA/edit?usp=sharing"",""สกลนคร!I316"")"),30)</f>
        <v>30</v>
      </c>
      <c r="J421" s="392">
        <f ca="1">IFERROR(__xludf.DUMMYFUNCTION("IMPORTRANGE(""https://docs.google.com/spreadsheets/d/1XL5vhW3sbDhbH9Cz0tuDiY8C3ctxq1tqvaCgkFb8cCA/edit?usp=sharing"",""สกลนคร!J316"")"),30)</f>
        <v>30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IFERROR(__xludf.DUMMYFUNCTION("IMPORTRANGE(""https://docs.google.com/spreadsheets/d/1XL5vhW3sbDhbH9Cz0tuDiY8C3ctxq1tqvaCgkFb8cCA/edit?usp=sharing"",""สกลนคร!I317"")"),90)</f>
        <v>90</v>
      </c>
      <c r="J422" s="393">
        <f ca="1">IFERROR(__xludf.DUMMYFUNCTION("IMPORTRANGE(""https://docs.google.com/spreadsheets/d/1XL5vhW3sbDhbH9Cz0tuDiY8C3ctxq1tqvaCgkFb8cCA/edit?usp=sharing"",""สกลนคร!J317"")"),90)</f>
        <v>90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IFERROR(__xludf.DUMMYFUNCTION("IMPORTRANGE(""https://docs.google.com/spreadsheets/d/1XL5vhW3sbDhbH9Cz0tuDiY8C3ctxq1tqvaCgkFb8cCA/edit?usp=sharing"",""สกลนคร!I318"")"),30)</f>
        <v>30</v>
      </c>
      <c r="J423" s="394">
        <f ca="1">IFERROR(__xludf.DUMMYFUNCTION("IMPORTRANGE(""https://docs.google.com/spreadsheets/d/1XL5vhW3sbDhbH9Cz0tuDiY8C3ctxq1tqvaCgkFb8cCA/edit?usp=sharing"",""สกลนคร!J318"")"),30)</f>
        <v>30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IFERROR(__xludf.DUMMYFUNCTION("IMPORTRANGE(""https://docs.google.com/spreadsheets/d/1XL5vhW3sbDhbH9Cz0tuDiY8C3ctxq1tqvaCgkFb8cCA/edit?usp=sharing"",""สกลนคร!I319"")"),30)</f>
        <v>30</v>
      </c>
      <c r="J424" s="394">
        <f ca="1">IFERROR(__xludf.DUMMYFUNCTION("IMPORTRANGE(""https://docs.google.com/spreadsheets/d/1XL5vhW3sbDhbH9Cz0tuDiY8C3ctxq1tqvaCgkFb8cCA/edit?usp=sharing"",""สกลนคร!J319"")"),30)</f>
        <v>30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IFERROR(__xludf.DUMMYFUNCTION("IMPORTRANGE(""https://docs.google.com/spreadsheets/d/1XL5vhW3sbDhbH9Cz0tuDiY8C3ctxq1tqvaCgkFb8cCA/edit?usp=sharing"",""สกลนคร!I320"")"),30)</f>
        <v>30</v>
      </c>
      <c r="J425" s="394">
        <f ca="1">IFERROR(__xludf.DUMMYFUNCTION("IMPORTRANGE(""https://docs.google.com/spreadsheets/d/1XL5vhW3sbDhbH9Cz0tuDiY8C3ctxq1tqvaCgkFb8cCA/edit?usp=sharing"",""สกลนคร!J320"")"),30)</f>
        <v>30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IFERROR(__xludf.DUMMYFUNCTION("IMPORTRANGE(""https://docs.google.com/spreadsheets/d/1XL5vhW3sbDhbH9Cz0tuDiY8C3ctxq1tqvaCgkFb8cCA/edit?usp=sharing"",""สกลนคร!I321"")"),12)</f>
        <v>12</v>
      </c>
      <c r="J426" s="392">
        <f ca="1">IFERROR(__xludf.DUMMYFUNCTION("IMPORTRANGE(""https://docs.google.com/spreadsheets/d/1XL5vhW3sbDhbH9Cz0tuDiY8C3ctxq1tqvaCgkFb8cCA/edit?usp=sharing"",""สกลนคร!J321"")"),12)</f>
        <v>12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IFERROR(__xludf.DUMMYFUNCTION("IMPORTRANGE(""https://docs.google.com/spreadsheets/d/1XL5vhW3sbDhbH9Cz0tuDiY8C3ctxq1tqvaCgkFb8cCA/edit?usp=sharing"",""สกลนคร!I322"")"),36)</f>
        <v>36</v>
      </c>
      <c r="J427" s="393">
        <f ca="1">IFERROR(__xludf.DUMMYFUNCTION("IMPORTRANGE(""https://docs.google.com/spreadsheets/d/1XL5vhW3sbDhbH9Cz0tuDiY8C3ctxq1tqvaCgkFb8cCA/edit?usp=sharing"",""สกลนคร!J322"")"),36)</f>
        <v>36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IFERROR(__xludf.DUMMYFUNCTION("IMPORTRANGE(""https://docs.google.com/spreadsheets/d/1XL5vhW3sbDhbH9Cz0tuDiY8C3ctxq1tqvaCgkFb8cCA/edit?usp=sharing"",""สกลนคร!I323"")"),12)</f>
        <v>12</v>
      </c>
      <c r="J428" s="394">
        <f ca="1">IFERROR(__xludf.DUMMYFUNCTION("IMPORTRANGE(""https://docs.google.com/spreadsheets/d/1XL5vhW3sbDhbH9Cz0tuDiY8C3ctxq1tqvaCgkFb8cCA/edit?usp=sharing"",""สกลนคร!J323"")"),12)</f>
        <v>12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IFERROR(__xludf.DUMMYFUNCTION("IMPORTRANGE(""https://docs.google.com/spreadsheets/d/1XL5vhW3sbDhbH9Cz0tuDiY8C3ctxq1tqvaCgkFb8cCA/edit?usp=sharing"",""สกลนคร!I324"")"),12)</f>
        <v>12</v>
      </c>
      <c r="J429" s="394">
        <f ca="1">IFERROR(__xludf.DUMMYFUNCTION("IMPORTRANGE(""https://docs.google.com/spreadsheets/d/1XL5vhW3sbDhbH9Cz0tuDiY8C3ctxq1tqvaCgkFb8cCA/edit?usp=sharing"",""สกลนคร!J324"")"),12)</f>
        <v>12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IFERROR(__xludf.DUMMYFUNCTION("IMPORTRANGE(""https://docs.google.com/spreadsheets/d/1XL5vhW3sbDhbH9Cz0tuDiY8C3ctxq1tqvaCgkFb8cCA/edit?usp=sharing"",""สกลนคร!I325"")"),50)</f>
        <v>50</v>
      </c>
      <c r="J430" s="392">
        <f ca="1">IFERROR(__xludf.DUMMYFUNCTION("IMPORTRANGE(""https://docs.google.com/spreadsheets/d/1XL5vhW3sbDhbH9Cz0tuDiY8C3ctxq1tqvaCgkFb8cCA/edit?usp=sharing"",""สกลนคร!J325"")"),0)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IFERROR(__xludf.DUMMYFUNCTION("IMPORTRANGE(""https://docs.google.com/spreadsheets/d/1XL5vhW3sbDhbH9Cz0tuDiY8C3ctxq1tqvaCgkFb8cCA/edit?usp=sharing"",""สกลนคร!I326"")"),20)</f>
        <v>20</v>
      </c>
      <c r="J431" s="394">
        <f ca="1">IFERROR(__xludf.DUMMYFUNCTION("IMPORTRANGE(""https://docs.google.com/spreadsheets/d/1XL5vhW3sbDhbH9Cz0tuDiY8C3ctxq1tqvaCgkFb8cCA/edit?usp=sharing"",""สกลนคร!J326"")"),0)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IFERROR(__xludf.DUMMYFUNCTION("IMPORTRANGE(""https://docs.google.com/spreadsheets/d/1XL5vhW3sbDhbH9Cz0tuDiY8C3ctxq1tqvaCgkFb8cCA/edit?usp=sharing"",""สกลนคร!I327"")"),30)</f>
        <v>30</v>
      </c>
      <c r="J432" s="394">
        <f ca="1">IFERROR(__xludf.DUMMYFUNCTION("IMPORTRANGE(""https://docs.google.com/spreadsheets/d/1XL5vhW3sbDhbH9Cz0tuDiY8C3ctxq1tqvaCgkFb8cCA/edit?usp=sharing"",""สกลนคร!J327"")"),0)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IFERROR(__xludf.DUMMYFUNCTION("IMPORTRANGE(""https://docs.google.com/spreadsheets/d/1XL5vhW3sbDhbH9Cz0tuDiY8C3ctxq1tqvaCgkFb8cCA/edit?usp=sharing"",""สกลนคร!J328"")"),0)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IFERROR(__xludf.DUMMYFUNCTION("IMPORTRANGE(""https://docs.google.com/spreadsheets/d/1XL5vhW3sbDhbH9Cz0tuDiY8C3ctxq1tqvaCgkFb8cCA/edit?usp=sharing"",""สกลนคร!J329"")"),0)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IFERROR(__xludf.DUMMYFUNCTION("IMPORTRANGE(""https://docs.google.com/spreadsheets/d/1XL5vhW3sbDhbH9Cz0tuDiY8C3ctxq1tqvaCgkFb8cCA/edit?usp=sharing"",""สกลนคร!I330"")"),30)</f>
        <v>30</v>
      </c>
      <c r="J435" s="410">
        <f ca="1">IFERROR(__xludf.DUMMYFUNCTION("IMPORTRANGE(""https://docs.google.com/spreadsheets/d/1XL5vhW3sbDhbH9Cz0tuDiY8C3ctxq1tqvaCgkFb8cCA/edit?usp=sharing"",""สกลนคร!J330"")"),30)</f>
        <v>30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IFERROR(__xludf.DUMMYFUNCTION("IMPORTRANGE(""https://docs.google.com/spreadsheets/d/1XL5vhW3sbDhbH9Cz0tuDiY8C3ctxq1tqvaCgkFb8cCA/edit?usp=sharing"",""สกลนคร!L330"")"),121000)</f>
        <v>121000</v>
      </c>
      <c r="M435" s="412"/>
      <c r="N435" s="412">
        <f ca="1">IFERROR(__xludf.DUMMYFUNCTION("IMPORTRANGE(""https://docs.google.com/spreadsheets/d/1XL5vhW3sbDhbH9Cz0tuDiY8C3ctxq1tqvaCgkFb8cCA/edit?usp=sharing"",""สกลนคร!M330"")"),97700.44)</f>
        <v>97700.44</v>
      </c>
      <c r="O435" s="412">
        <f t="shared" ref="O435:O439" ca="1" si="114">+IF(L435&gt;0,N435*100/L435,0)</f>
        <v>80.744165289256202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IFERROR(__xludf.DUMMYFUNCTION("IMPORTRANGE(""https://docs.google.com/spreadsheets/d/1XL5vhW3sbDhbH9Cz0tuDiY8C3ctxq1tqvaCgkFb8cCA/edit?usp=sharing"",""สกลนคร!L331"")"),0)</f>
        <v>0</v>
      </c>
      <c r="M436" s="164"/>
      <c r="N436" s="169">
        <f ca="1">IFERROR(__xludf.DUMMYFUNCTION("IMPORTRANGE(""https://docs.google.com/spreadsheets/d/1XL5vhW3sbDhbH9Cz0tuDiY8C3ctxq1tqvaCgkFb8cCA/edit?usp=sharing"",""สกลนคร!M331"")"),0)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IFERROR(__xludf.DUMMYFUNCTION("IMPORTRANGE(""https://docs.google.com/spreadsheets/d/1XL5vhW3sbDhbH9Cz0tuDiY8C3ctxq1tqvaCgkFb8cCA/edit?usp=sharing"",""สกลนคร!L332"")"),121000)</f>
        <v>121000</v>
      </c>
      <c r="M437" s="165"/>
      <c r="N437" s="169">
        <f ca="1">IFERROR(__xludf.DUMMYFUNCTION("IMPORTRANGE(""https://docs.google.com/spreadsheets/d/1XL5vhW3sbDhbH9Cz0tuDiY8C3ctxq1tqvaCgkFb8cCA/edit?usp=sharing"",""สกลนคร!M332"")"),97700.44)</f>
        <v>97700.44</v>
      </c>
      <c r="O437" s="169">
        <f t="shared" ca="1" si="114"/>
        <v>80.744165289256202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IFERROR(__xludf.DUMMYFUNCTION("IMPORTRANGE(""https://docs.google.com/spreadsheets/d/1XL5vhW3sbDhbH9Cz0tuDiY8C3ctxq1tqvaCgkFb8cCA/edit?usp=sharing"",""สกลนคร!L333"")"),0)</f>
        <v>0</v>
      </c>
      <c r="M438" s="169"/>
      <c r="N438" s="169">
        <f ca="1">IFERROR(__xludf.DUMMYFUNCTION("IMPORTRANGE(""https://docs.google.com/spreadsheets/d/1XL5vhW3sbDhbH9Cz0tuDiY8C3ctxq1tqvaCgkFb8cCA/edit?usp=sharing"",""สกลนคร!M333"")"),0)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IFERROR(__xludf.DUMMYFUNCTION("IMPORTRANGE(""https://docs.google.com/spreadsheets/d/1XL5vhW3sbDhbH9Cz0tuDiY8C3ctxq1tqvaCgkFb8cCA/edit?usp=sharing"",""สกลนคร!L334"")"),121000)</f>
        <v>121000</v>
      </c>
      <c r="M439" s="169"/>
      <c r="N439" s="169">
        <f ca="1">IFERROR(__xludf.DUMMYFUNCTION("IMPORTRANGE(""https://docs.google.com/spreadsheets/d/1XL5vhW3sbDhbH9Cz0tuDiY8C3ctxq1tqvaCgkFb8cCA/edit?usp=sharing"",""สกลนคร!M334"")"),97700.44)</f>
        <v>97700.44</v>
      </c>
      <c r="O439" s="169">
        <f t="shared" ca="1" si="114"/>
        <v>80.744165289256202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IFERROR(__xludf.DUMMYFUNCTION("IMPORTRANGE(""https://docs.google.com/spreadsheets/d/1XL5vhW3sbDhbH9Cz0tuDiY8C3ctxq1tqvaCgkFb8cCA/edit?usp=sharing"",""สกลนคร!M335"")"),70200)</f>
        <v>70200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IFERROR(__xludf.DUMMYFUNCTION("IMPORTRANGE(""https://docs.google.com/spreadsheets/d/1XL5vhW3sbDhbH9Cz0tuDiY8C3ctxq1tqvaCgkFb8cCA/edit?usp=sharing"",""สกลนคร!M336"")"),0)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IFERROR(__xludf.DUMMYFUNCTION("IMPORTRANGE(""https://docs.google.com/spreadsheets/d/1XL5vhW3sbDhbH9Cz0tuDiY8C3ctxq1tqvaCgkFb8cCA/edit?usp=sharing"",""สกลนคร!M337"")"),0)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IFERROR(__xludf.DUMMYFUNCTION("IMPORTRANGE(""https://docs.google.com/spreadsheets/d/1XL5vhW3sbDhbH9Cz0tuDiY8C3ctxq1tqvaCgkFb8cCA/edit?usp=sharing"",""สกลนคร!M338"")"),27500.44)</f>
        <v>27500.44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IFERROR(__xludf.DUMMYFUNCTION("IMPORTRANGE(""https://docs.google.com/spreadsheets/d/1XL5vhW3sbDhbH9Cz0tuDiY8C3ctxq1tqvaCgkFb8cCA/edit?usp=sharing"",""สกลนคร!J340"")"),0)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IFERROR(__xludf.DUMMYFUNCTION("IMPORTRANGE(""https://docs.google.com/spreadsheets/d/1XL5vhW3sbDhbH9Cz0tuDiY8C3ctxq1tqvaCgkFb8cCA/edit?usp=sharing"",""สกลนคร!J341"")"),1)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IFERROR(__xludf.DUMMYFUNCTION("IMPORTRANGE(""https://docs.google.com/spreadsheets/d/1XL5vhW3sbDhbH9Cz0tuDiY8C3ctxq1tqvaCgkFb8cCA/edit?usp=sharing"",""สกลนคร!J342"")"),1)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IFERROR(__xludf.DUMMYFUNCTION("IMPORTRANGE(""https://docs.google.com/spreadsheets/d/1XL5vhW3sbDhbH9Cz0tuDiY8C3ctxq1tqvaCgkFb8cCA/edit?usp=sharing"",""สกลนคร!J343"")"),1)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IFERROR(__xludf.DUMMYFUNCTION("IMPORTRANGE(""https://docs.google.com/spreadsheets/d/1XL5vhW3sbDhbH9Cz0tuDiY8C3ctxq1tqvaCgkFb8cCA/edit?usp=sharing"",""สกลนคร!I344"")"),30)</f>
        <v>30</v>
      </c>
      <c r="J449" s="201">
        <f ca="1">IFERROR(__xludf.DUMMYFUNCTION("IMPORTRANGE(""https://docs.google.com/spreadsheets/d/1XL5vhW3sbDhbH9Cz0tuDiY8C3ctxq1tqvaCgkFb8cCA/edit?usp=sharing"",""สกลนคร!J344"")"),30)</f>
        <v>30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IFERROR(__xludf.DUMMYFUNCTION("IMPORTRANGE(""https://docs.google.com/spreadsheets/d/1XL5vhW3sbDhbH9Cz0tuDiY8C3ctxq1tqvaCgkFb8cCA/edit?usp=sharing"",""สกลนคร!I345"")"),30)</f>
        <v>30</v>
      </c>
      <c r="J450" s="189">
        <f ca="1">IFERROR(__xludf.DUMMYFUNCTION("IMPORTRANGE(""https://docs.google.com/spreadsheets/d/1XL5vhW3sbDhbH9Cz0tuDiY8C3ctxq1tqvaCgkFb8cCA/edit?usp=sharing"",""สกลนคร!J345"")"),30)</f>
        <v>30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IFERROR(__xludf.DUMMYFUNCTION("IMPORTRANGE(""https://docs.google.com/spreadsheets/d/1XL5vhW3sbDhbH9Cz0tuDiY8C3ctxq1tqvaCgkFb8cCA/edit?usp=sharing"",""สกลนคร!I346"")"),0)</f>
        <v>0</v>
      </c>
      <c r="J451" s="188">
        <f ca="1">IFERROR(__xludf.DUMMYFUNCTION("IMPORTRANGE(""https://docs.google.com/spreadsheets/d/1XL5vhW3sbDhbH9Cz0tuDiY8C3ctxq1tqvaCgkFb8cCA/edit?usp=sharing"",""สกลนคร!J346"")"),0)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IFERROR(__xludf.DUMMYFUNCTION("IMPORTRANGE(""https://docs.google.com/spreadsheets/d/1XL5vhW3sbDhbH9Cz0tuDiY8C3ctxq1tqvaCgkFb8cCA/edit?usp=sharing"",""สกลนคร!I347"")"),0)</f>
        <v>0</v>
      </c>
      <c r="J452" s="188">
        <f ca="1">IFERROR(__xludf.DUMMYFUNCTION("IMPORTRANGE(""https://docs.google.com/spreadsheets/d/1XL5vhW3sbDhbH9Cz0tuDiY8C3ctxq1tqvaCgkFb8cCA/edit?usp=sharing"",""สกลนคร!J347"")"),0)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IFERROR(__xludf.DUMMYFUNCTION("IMPORTRANGE(""https://docs.google.com/spreadsheets/d/1XL5vhW3sbDhbH9Cz0tuDiY8C3ctxq1tqvaCgkFb8cCA/edit?usp=sharing"",""สกลนคร!J348"")"),0)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IFERROR(__xludf.DUMMYFUNCTION("IMPORTRANGE(""https://docs.google.com/spreadsheets/d/1XL5vhW3sbDhbH9Cz0tuDiY8C3ctxq1tqvaCgkFb8cCA/edit?usp=sharing"",""สกลนคร!J349"")"),0)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IFERROR(__xludf.DUMMYFUNCTION("IMPORTRANGE(""https://docs.google.com/spreadsheets/d/1XL5vhW3sbDhbH9Cz0tuDiY8C3ctxq1tqvaCgkFb8cCA/edit?usp=sharing"",""สกลนคร!I350"")"),45964)</f>
        <v>45964</v>
      </c>
      <c r="J455" s="371">
        <f ca="1">IFERROR(__xludf.DUMMYFUNCTION("IMPORTRANGE(""https://docs.google.com/spreadsheets/d/1XL5vhW3sbDhbH9Cz0tuDiY8C3ctxq1tqvaCgkFb8cCA/edit?usp=sharing"",""สกลนคร!J350"")"),0)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IFERROR(__xludf.DUMMYFUNCTION("IMPORTRANGE(""https://docs.google.com/spreadsheets/d/1XL5vhW3sbDhbH9Cz0tuDiY8C3ctxq1tqvaCgkFb8cCA/edit?usp=sharing"",""สกลนคร!L350"")"),585768)</f>
        <v>585768</v>
      </c>
      <c r="M455" s="373"/>
      <c r="N455" s="373">
        <f ca="1">IFERROR(__xludf.DUMMYFUNCTION("IMPORTRANGE(""https://docs.google.com/spreadsheets/d/1XL5vhW3sbDhbH9Cz0tuDiY8C3ctxq1tqvaCgkFb8cCA/edit?usp=sharing"",""สกลนคร!M350"")"),145602.13)</f>
        <v>145602.13</v>
      </c>
      <c r="O455" s="373">
        <f t="shared" ref="O455:O459" ca="1" si="116">+IF(L455&gt;0,N455*100/L455,0)</f>
        <v>24.856620709905627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IFERROR(__xludf.DUMMYFUNCTION("IMPORTRANGE(""https://docs.google.com/spreadsheets/d/1XL5vhW3sbDhbH9Cz0tuDiY8C3ctxq1tqvaCgkFb8cCA/edit?usp=sharing"",""สกลนคร!L351"")"),0)</f>
        <v>0</v>
      </c>
      <c r="M456" s="164"/>
      <c r="N456" s="169">
        <f ca="1">IFERROR(__xludf.DUMMYFUNCTION("IMPORTRANGE(""https://docs.google.com/spreadsheets/d/1XL5vhW3sbDhbH9Cz0tuDiY8C3ctxq1tqvaCgkFb8cCA/edit?usp=sharing"",""สกลนคร!M351"")"),0)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IFERROR(__xludf.DUMMYFUNCTION("IMPORTRANGE(""https://docs.google.com/spreadsheets/d/1XL5vhW3sbDhbH9Cz0tuDiY8C3ctxq1tqvaCgkFb8cCA/edit?usp=sharing"",""สกลนคร!L352"")"),585768)</f>
        <v>585768</v>
      </c>
      <c r="M457" s="165"/>
      <c r="N457" s="169">
        <f ca="1">IFERROR(__xludf.DUMMYFUNCTION("IMPORTRANGE(""https://docs.google.com/spreadsheets/d/1XL5vhW3sbDhbH9Cz0tuDiY8C3ctxq1tqvaCgkFb8cCA/edit?usp=sharing"",""สกลนคร!M352"")"),145602.13)</f>
        <v>145602.13</v>
      </c>
      <c r="O457" s="169">
        <f t="shared" ca="1" si="116"/>
        <v>24.856620709905627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IFERROR(__xludf.DUMMYFUNCTION("IMPORTRANGE(""https://docs.google.com/spreadsheets/d/1XL5vhW3sbDhbH9Cz0tuDiY8C3ctxq1tqvaCgkFb8cCA/edit?usp=sharing"",""สกลนคร!L353"")"),0)</f>
        <v>0</v>
      </c>
      <c r="M458" s="169"/>
      <c r="N458" s="169">
        <f ca="1">IFERROR(__xludf.DUMMYFUNCTION("IMPORTRANGE(""https://docs.google.com/spreadsheets/d/1XL5vhW3sbDhbH9Cz0tuDiY8C3ctxq1tqvaCgkFb8cCA/edit?usp=sharing"",""สกลนคร!M353"")"),0)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IFERROR(__xludf.DUMMYFUNCTION("IMPORTRANGE(""https://docs.google.com/spreadsheets/d/1XL5vhW3sbDhbH9Cz0tuDiY8C3ctxq1tqvaCgkFb8cCA/edit?usp=sharing"",""สกลนคร!L354"")"),585768)</f>
        <v>585768</v>
      </c>
      <c r="M459" s="169"/>
      <c r="N459" s="169">
        <f ca="1">IFERROR(__xludf.DUMMYFUNCTION("IMPORTRANGE(""https://docs.google.com/spreadsheets/d/1XL5vhW3sbDhbH9Cz0tuDiY8C3ctxq1tqvaCgkFb8cCA/edit?usp=sharing"",""สกลนคร!M354"")"),145602.13)</f>
        <v>145602.13</v>
      </c>
      <c r="O459" s="169">
        <f t="shared" ca="1" si="116"/>
        <v>24.856620709905627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IFERROR(__xludf.DUMMYFUNCTION("IMPORTRANGE(""https://docs.google.com/spreadsheets/d/1XL5vhW3sbDhbH9Cz0tuDiY8C3ctxq1tqvaCgkFb8cCA/edit?usp=sharing"",""สกลนคร!M355"")"),0)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IFERROR(__xludf.DUMMYFUNCTION("IMPORTRANGE(""https://docs.google.com/spreadsheets/d/1XL5vhW3sbDhbH9Cz0tuDiY8C3ctxq1tqvaCgkFb8cCA/edit?usp=sharing"",""สกลนคร!M356"")"),0)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IFERROR(__xludf.DUMMYFUNCTION("IMPORTRANGE(""https://docs.google.com/spreadsheets/d/1XL5vhW3sbDhbH9Cz0tuDiY8C3ctxq1tqvaCgkFb8cCA/edit?usp=sharing"",""สกลนคร!M357"")"),54609.83)</f>
        <v>54609.83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IFERROR(__xludf.DUMMYFUNCTION("IMPORTRANGE(""https://docs.google.com/spreadsheets/d/1XL5vhW3sbDhbH9Cz0tuDiY8C3ctxq1tqvaCgkFb8cCA/edit?usp=sharing"",""สกลนคร!M358"")"),90992.3)</f>
        <v>90992.3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IFERROR(__xludf.DUMMYFUNCTION("IMPORTRANGE(""https://docs.google.com/spreadsheets/d/1XL5vhW3sbDhbH9Cz0tuDiY8C3ctxq1tqvaCgkFb8cCA/edit?usp=sharing"",""สกลนคร!I359"")"),45964)</f>
        <v>45964</v>
      </c>
      <c r="J464" s="267">
        <f ca="1">IFERROR(__xludf.DUMMYFUNCTION("IMPORTRANGE(""https://docs.google.com/spreadsheets/d/1XL5vhW3sbDhbH9Cz0tuDiY8C3ctxq1tqvaCgkFb8cCA/edit?usp=sharing"",""สกลนคร!J359"")"),0)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IFERROR(__xludf.DUMMYFUNCTION("IMPORTRANGE(""https://docs.google.com/spreadsheets/d/1XL5vhW3sbDhbH9Cz0tuDiY8C3ctxq1tqvaCgkFb8cCA/edit?usp=sharing"",""สกลนคร!I360"")"),45964)</f>
        <v>45964</v>
      </c>
      <c r="J465" s="420">
        <f ca="1">IFERROR(__xludf.DUMMYFUNCTION("IMPORTRANGE(""https://docs.google.com/spreadsheets/d/1XL5vhW3sbDhbH9Cz0tuDiY8C3ctxq1tqvaCgkFb8cCA/edit?usp=sharing"",""สกลนคร!J360"")"),46276.34)</f>
        <v>46276.34</v>
      </c>
      <c r="K465" s="202">
        <f t="shared" ca="1" si="117"/>
        <v>100.67953180750152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IFERROR(__xludf.DUMMYFUNCTION("IMPORTRANGE(""https://docs.google.com/spreadsheets/d/1XL5vhW3sbDhbH9Cz0tuDiY8C3ctxq1tqvaCgkFb8cCA/edit?usp=sharing"",""สกลนคร!I361"")"),5754)</f>
        <v>5754</v>
      </c>
      <c r="J466" s="420">
        <f ca="1">IFERROR(__xludf.DUMMYFUNCTION("IMPORTRANGE(""https://docs.google.com/spreadsheets/d/1XL5vhW3sbDhbH9Cz0tuDiY8C3ctxq1tqvaCgkFb8cCA/edit?usp=sharing"",""สกลนคร!J361"")"),5754)</f>
        <v>5754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IFERROR(__xludf.DUMMYFUNCTION("IMPORTRANGE(""https://docs.google.com/spreadsheets/d/1XL5vhW3sbDhbH9Cz0tuDiY8C3ctxq1tqvaCgkFb8cCA/edit?usp=sharing"",""สกลนคร!I362"")"),0)</f>
        <v>0</v>
      </c>
      <c r="J467" s="189">
        <f ca="1">IFERROR(__xludf.DUMMYFUNCTION("IMPORTRANGE(""https://docs.google.com/spreadsheets/d/1XL5vhW3sbDhbH9Cz0tuDiY8C3ctxq1tqvaCgkFb8cCA/edit?usp=sharing"",""สกลนคร!J362"")"),37711.09)</f>
        <v>37711.089999999997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IFERROR(__xludf.DUMMYFUNCTION("IMPORTRANGE(""https://docs.google.com/spreadsheets/d/1XL5vhW3sbDhbH9Cz0tuDiY8C3ctxq1tqvaCgkFb8cCA/edit?usp=sharing"",""สกลนคร!I363"")"),0)</f>
        <v>0</v>
      </c>
      <c r="J468" s="189">
        <f ca="1">IFERROR(__xludf.DUMMYFUNCTION("IMPORTRANGE(""https://docs.google.com/spreadsheets/d/1XL5vhW3sbDhbH9Cz0tuDiY8C3ctxq1tqvaCgkFb8cCA/edit?usp=sharing"",""สกลนคร!J363"")"),4991)</f>
        <v>4991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IFERROR(__xludf.DUMMYFUNCTION("IMPORTRANGE(""https://docs.google.com/spreadsheets/d/1XL5vhW3sbDhbH9Cz0tuDiY8C3ctxq1tqvaCgkFb8cCA/edit?usp=sharing"",""สกลนคร!I364"")"),0)</f>
        <v>0</v>
      </c>
      <c r="J469" s="189">
        <f ca="1">IFERROR(__xludf.DUMMYFUNCTION("IMPORTRANGE(""https://docs.google.com/spreadsheets/d/1XL5vhW3sbDhbH9Cz0tuDiY8C3ctxq1tqvaCgkFb8cCA/edit?usp=sharing"",""สกลนคร!J364"")"),7757.18)</f>
        <v>7757.18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IFERROR(__xludf.DUMMYFUNCTION("IMPORTRANGE(""https://docs.google.com/spreadsheets/d/1XL5vhW3sbDhbH9Cz0tuDiY8C3ctxq1tqvaCgkFb8cCA/edit?usp=sharing"",""สกลนคร!I365"")"),0)</f>
        <v>0</v>
      </c>
      <c r="J470" s="189">
        <f ca="1">IFERROR(__xludf.DUMMYFUNCTION("IMPORTRANGE(""https://docs.google.com/spreadsheets/d/1XL5vhW3sbDhbH9Cz0tuDiY8C3ctxq1tqvaCgkFb8cCA/edit?usp=sharing"",""สกลนคร!J365"")"),666)</f>
        <v>666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IFERROR(__xludf.DUMMYFUNCTION("IMPORTRANGE(""https://docs.google.com/spreadsheets/d/1XL5vhW3sbDhbH9Cz0tuDiY8C3ctxq1tqvaCgkFb8cCA/edit?usp=sharing"",""สกลนคร!I366"")"),0)</f>
        <v>0</v>
      </c>
      <c r="J471" s="189">
        <f ca="1">IFERROR(__xludf.DUMMYFUNCTION("IMPORTRANGE(""https://docs.google.com/spreadsheets/d/1XL5vhW3sbDhbH9Cz0tuDiY8C3ctxq1tqvaCgkFb8cCA/edit?usp=sharing"",""สกลนคร!J366"")"),808.07)</f>
        <v>808.07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IFERROR(__xludf.DUMMYFUNCTION("IMPORTRANGE(""https://docs.google.com/spreadsheets/d/1XL5vhW3sbDhbH9Cz0tuDiY8C3ctxq1tqvaCgkFb8cCA/edit?usp=sharing"",""สกลนคร!I367"")"),0)</f>
        <v>0</v>
      </c>
      <c r="J472" s="189">
        <f ca="1">IFERROR(__xludf.DUMMYFUNCTION("IMPORTRANGE(""https://docs.google.com/spreadsheets/d/1XL5vhW3sbDhbH9Cz0tuDiY8C3ctxq1tqvaCgkFb8cCA/edit?usp=sharing"",""สกลนคร!J367"")"),97)</f>
        <v>97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IFERROR(__xludf.DUMMYFUNCTION("IMPORTRANGE(""https://docs.google.com/spreadsheets/d/1XL5vhW3sbDhbH9Cz0tuDiY8C3ctxq1tqvaCgkFb8cCA/edit?usp=sharing"",""สกลนคร!I368"")"),45964)</f>
        <v>45964</v>
      </c>
      <c r="J473" s="420">
        <f ca="1">IFERROR(__xludf.DUMMYFUNCTION("IMPORTRANGE(""https://docs.google.com/spreadsheets/d/1XL5vhW3sbDhbH9Cz0tuDiY8C3ctxq1tqvaCgkFb8cCA/edit?usp=sharing"",""สกลนคร!J368"")"),46277.11)</f>
        <v>46277.11</v>
      </c>
      <c r="K473" s="202">
        <f t="shared" ca="1" si="117"/>
        <v>100.68120703158993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IFERROR(__xludf.DUMMYFUNCTION("IMPORTRANGE(""https://docs.google.com/spreadsheets/d/1XL5vhW3sbDhbH9Cz0tuDiY8C3ctxq1tqvaCgkFb8cCA/edit?usp=sharing"",""สกลนคร!I369"")"),5754)</f>
        <v>5754</v>
      </c>
      <c r="J474" s="420">
        <f ca="1">IFERROR(__xludf.DUMMYFUNCTION("IMPORTRANGE(""https://docs.google.com/spreadsheets/d/1XL5vhW3sbDhbH9Cz0tuDiY8C3ctxq1tqvaCgkFb8cCA/edit?usp=sharing"",""สกลนคร!J369"")"),5754)</f>
        <v>5754</v>
      </c>
      <c r="K474" s="163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IFERROR(__xludf.DUMMYFUNCTION("IMPORTRANGE(""https://docs.google.com/spreadsheets/d/1XL5vhW3sbDhbH9Cz0tuDiY8C3ctxq1tqvaCgkFb8cCA/edit?usp=sharing"",""สกลนคร!I370"")"),0)</f>
        <v>0</v>
      </c>
      <c r="J475" s="189">
        <f ca="1">IFERROR(__xludf.DUMMYFUNCTION("IMPORTRANGE(""https://docs.google.com/spreadsheets/d/1XL5vhW3sbDhbH9Cz0tuDiY8C3ctxq1tqvaCgkFb8cCA/edit?usp=sharing"",""สกลนคร!J370"")"),40850.19)</f>
        <v>40850.19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IFERROR(__xludf.DUMMYFUNCTION("IMPORTRANGE(""https://docs.google.com/spreadsheets/d/1XL5vhW3sbDhbH9Cz0tuDiY8C3ctxq1tqvaCgkFb8cCA/edit?usp=sharing"",""สกลนคร!I371"")"),0)</f>
        <v>0</v>
      </c>
      <c r="J476" s="189">
        <f ca="1">IFERROR(__xludf.DUMMYFUNCTION("IMPORTRANGE(""https://docs.google.com/spreadsheets/d/1XL5vhW3sbDhbH9Cz0tuDiY8C3ctxq1tqvaCgkFb8cCA/edit?usp=sharing"",""สกลนคร!J371"")"),5277)</f>
        <v>5277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IFERROR(__xludf.DUMMYFUNCTION("IMPORTRANGE(""https://docs.google.com/spreadsheets/d/1XL5vhW3sbDhbH9Cz0tuDiY8C3ctxq1tqvaCgkFb8cCA/edit?usp=sharing"",""สกลนคร!I372"")"),0)</f>
        <v>0</v>
      </c>
      <c r="J477" s="189">
        <f ca="1">IFERROR(__xludf.DUMMYFUNCTION("IMPORTRANGE(""https://docs.google.com/spreadsheets/d/1XL5vhW3sbDhbH9Cz0tuDiY8C3ctxq1tqvaCgkFb8cCA/edit?usp=sharing"",""สกลนคร!J372"")"),4618.85)</f>
        <v>4618.8500000000004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IFERROR(__xludf.DUMMYFUNCTION("IMPORTRANGE(""https://docs.google.com/spreadsheets/d/1XL5vhW3sbDhbH9Cz0tuDiY8C3ctxq1tqvaCgkFb8cCA/edit?usp=sharing"",""สกลนคร!I373"")"),0)</f>
        <v>0</v>
      </c>
      <c r="J478" s="189">
        <f ca="1">IFERROR(__xludf.DUMMYFUNCTION("IMPORTRANGE(""https://docs.google.com/spreadsheets/d/1XL5vhW3sbDhbH9Cz0tuDiY8C3ctxq1tqvaCgkFb8cCA/edit?usp=sharing"",""สกลนคร!J373"")"),380)</f>
        <v>380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IFERROR(__xludf.DUMMYFUNCTION("IMPORTRANGE(""https://docs.google.com/spreadsheets/d/1XL5vhW3sbDhbH9Cz0tuDiY8C3ctxq1tqvaCgkFb8cCA/edit?usp=sharing"",""สกลนคร!I374"")"),0)</f>
        <v>0</v>
      </c>
      <c r="J479" s="189">
        <f ca="1">IFERROR(__xludf.DUMMYFUNCTION("IMPORTRANGE(""https://docs.google.com/spreadsheets/d/1XL5vhW3sbDhbH9Cz0tuDiY8C3ctxq1tqvaCgkFb8cCA/edit?usp=sharing"",""สกลนคร!J374"")"),808.07)</f>
        <v>808.07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IFERROR(__xludf.DUMMYFUNCTION("IMPORTRANGE(""https://docs.google.com/spreadsheets/d/1XL5vhW3sbDhbH9Cz0tuDiY8C3ctxq1tqvaCgkFb8cCA/edit?usp=sharing"",""สกลนคร!I375"")"),0)</f>
        <v>0</v>
      </c>
      <c r="J480" s="189">
        <f ca="1">IFERROR(__xludf.DUMMYFUNCTION("IMPORTRANGE(""https://docs.google.com/spreadsheets/d/1XL5vhW3sbDhbH9Cz0tuDiY8C3ctxq1tqvaCgkFb8cCA/edit?usp=sharing"",""สกลนคร!J375"")"),97)</f>
        <v>97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IFERROR(__xludf.DUMMYFUNCTION("IMPORTRANGE(""https://docs.google.com/spreadsheets/d/1XL5vhW3sbDhbH9Cz0tuDiY8C3ctxq1tqvaCgkFb8cCA/edit?usp=sharing"",""สกลนคร!I376"")"),45964)</f>
        <v>45964</v>
      </c>
      <c r="J481" s="420">
        <f ca="1">IFERROR(__xludf.DUMMYFUNCTION("IMPORTRANGE(""https://docs.google.com/spreadsheets/d/1XL5vhW3sbDhbH9Cz0tuDiY8C3ctxq1tqvaCgkFb8cCA/edit?usp=sharing"",""สกลนคร!J376"")"),0)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IFERROR(__xludf.DUMMYFUNCTION("IMPORTRANGE(""https://docs.google.com/spreadsheets/d/1XL5vhW3sbDhbH9Cz0tuDiY8C3ctxq1tqvaCgkFb8cCA/edit?usp=sharing"",""สกลนคร!I377"")"),5754)</f>
        <v>5754</v>
      </c>
      <c r="J482" s="420">
        <f ca="1">IFERROR(__xludf.DUMMYFUNCTION("IMPORTRANGE(""https://docs.google.com/spreadsheets/d/1XL5vhW3sbDhbH9Cz0tuDiY8C3ctxq1tqvaCgkFb8cCA/edit?usp=sharing"",""สกลนคร!J377"")"),0)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IFERROR(__xludf.DUMMYFUNCTION("IMPORTRANGE(""https://docs.google.com/spreadsheets/d/1XL5vhW3sbDhbH9Cz0tuDiY8C3ctxq1tqvaCgkFb8cCA/edit?usp=sharing"",""สกลนคร!I378"")"),0)</f>
        <v>0</v>
      </c>
      <c r="J483" s="189">
        <f ca="1">IFERROR(__xludf.DUMMYFUNCTION("IMPORTRANGE(""https://docs.google.com/spreadsheets/d/1XL5vhW3sbDhbH9Cz0tuDiY8C3ctxq1tqvaCgkFb8cCA/edit?usp=sharing"",""สกลนคร!J378"")"),0)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IFERROR(__xludf.DUMMYFUNCTION("IMPORTRANGE(""https://docs.google.com/spreadsheets/d/1XL5vhW3sbDhbH9Cz0tuDiY8C3ctxq1tqvaCgkFb8cCA/edit?usp=sharing"",""สกลนคร!I379"")"),0)</f>
        <v>0</v>
      </c>
      <c r="J484" s="189">
        <f ca="1">IFERROR(__xludf.DUMMYFUNCTION("IMPORTRANGE(""https://docs.google.com/spreadsheets/d/1XL5vhW3sbDhbH9Cz0tuDiY8C3ctxq1tqvaCgkFb8cCA/edit?usp=sharing"",""สกลนคร!J379"")"),0)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IFERROR(__xludf.DUMMYFUNCTION("IMPORTRANGE(""https://docs.google.com/spreadsheets/d/1XL5vhW3sbDhbH9Cz0tuDiY8C3ctxq1tqvaCgkFb8cCA/edit?usp=sharing"",""สกลนคร!I380"")"),0)</f>
        <v>0</v>
      </c>
      <c r="J485" s="189">
        <f ca="1">IFERROR(__xludf.DUMMYFUNCTION("IMPORTRANGE(""https://docs.google.com/spreadsheets/d/1XL5vhW3sbDhbH9Cz0tuDiY8C3ctxq1tqvaCgkFb8cCA/edit?usp=sharing"",""สกลนคร!J380"")"),0)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IFERROR(__xludf.DUMMYFUNCTION("IMPORTRANGE(""https://docs.google.com/spreadsheets/d/1XL5vhW3sbDhbH9Cz0tuDiY8C3ctxq1tqvaCgkFb8cCA/edit?usp=sharing"",""สกลนคร!I381"")"),0)</f>
        <v>0</v>
      </c>
      <c r="J486" s="189">
        <f ca="1">IFERROR(__xludf.DUMMYFUNCTION("IMPORTRANGE(""https://docs.google.com/spreadsheets/d/1XL5vhW3sbDhbH9Cz0tuDiY8C3ctxq1tqvaCgkFb8cCA/edit?usp=sharing"",""สกลนคร!J381"")"),0)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IFERROR(__xludf.DUMMYFUNCTION("IMPORTRANGE(""https://docs.google.com/spreadsheets/d/1XL5vhW3sbDhbH9Cz0tuDiY8C3ctxq1tqvaCgkFb8cCA/edit?usp=sharing"",""สกลนคร!I382"")"),0)</f>
        <v>0</v>
      </c>
      <c r="J487" s="420">
        <f ca="1">IFERROR(__xludf.DUMMYFUNCTION("IMPORTRANGE(""https://docs.google.com/spreadsheets/d/1XL5vhW3sbDhbH9Cz0tuDiY8C3ctxq1tqvaCgkFb8cCA/edit?usp=sharing"",""สกลนคร!J382"")"),0)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IFERROR(__xludf.DUMMYFUNCTION("IMPORTRANGE(""https://docs.google.com/spreadsheets/d/1XL5vhW3sbDhbH9Cz0tuDiY8C3ctxq1tqvaCgkFb8cCA/edit?usp=sharing"",""สกลนคร!I383"")"),0)</f>
        <v>0</v>
      </c>
      <c r="J488" s="420">
        <f ca="1">IFERROR(__xludf.DUMMYFUNCTION("IMPORTRANGE(""https://docs.google.com/spreadsheets/d/1XL5vhW3sbDhbH9Cz0tuDiY8C3ctxq1tqvaCgkFb8cCA/edit?usp=sharing"",""สกลนคร!J383"")"),0)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IFERROR(__xludf.DUMMYFUNCTION("IMPORTRANGE(""https://docs.google.com/spreadsheets/d/1XL5vhW3sbDhbH9Cz0tuDiY8C3ctxq1tqvaCgkFb8cCA/edit?usp=sharing"",""สกลนคร!I384"")"),0)</f>
        <v>0</v>
      </c>
      <c r="J489" s="189">
        <f ca="1">IFERROR(__xludf.DUMMYFUNCTION("IMPORTRANGE(""https://docs.google.com/spreadsheets/d/1XL5vhW3sbDhbH9Cz0tuDiY8C3ctxq1tqvaCgkFb8cCA/edit?usp=sharing"",""สกลนคร!J384"")"),0)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IFERROR(__xludf.DUMMYFUNCTION("IMPORTRANGE(""https://docs.google.com/spreadsheets/d/1XL5vhW3sbDhbH9Cz0tuDiY8C3ctxq1tqvaCgkFb8cCA/edit?usp=sharing"",""สกลนคร!I385"")"),0)</f>
        <v>0</v>
      </c>
      <c r="J490" s="189">
        <f ca="1">IFERROR(__xludf.DUMMYFUNCTION("IMPORTRANGE(""https://docs.google.com/spreadsheets/d/1XL5vhW3sbDhbH9Cz0tuDiY8C3ctxq1tqvaCgkFb8cCA/edit?usp=sharing"",""สกลนคร!J385"")"),0)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IFERROR(__xludf.DUMMYFUNCTION("IMPORTRANGE(""https://docs.google.com/spreadsheets/d/1XL5vhW3sbDhbH9Cz0tuDiY8C3ctxq1tqvaCgkFb8cCA/edit?usp=sharing"",""สกลนคร!I386"")"),0)</f>
        <v>0</v>
      </c>
      <c r="J491" s="189">
        <f ca="1">IFERROR(__xludf.DUMMYFUNCTION("IMPORTRANGE(""https://docs.google.com/spreadsheets/d/1XL5vhW3sbDhbH9Cz0tuDiY8C3ctxq1tqvaCgkFb8cCA/edit?usp=sharing"",""สกลนคร!J386"")"),0)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IFERROR(__xludf.DUMMYFUNCTION("IMPORTRANGE(""https://docs.google.com/spreadsheets/d/1XL5vhW3sbDhbH9Cz0tuDiY8C3ctxq1tqvaCgkFb8cCA/edit?usp=sharing"",""สกลนคร!I387"")"),0)</f>
        <v>0</v>
      </c>
      <c r="J492" s="189">
        <f ca="1">IFERROR(__xludf.DUMMYFUNCTION("IMPORTRANGE(""https://docs.google.com/spreadsheets/d/1XL5vhW3sbDhbH9Cz0tuDiY8C3ctxq1tqvaCgkFb8cCA/edit?usp=sharing"",""สกลนคร!J387"")"),0)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IFERROR(__xludf.DUMMYFUNCTION("IMPORTRANGE(""https://docs.google.com/spreadsheets/d/1XL5vhW3sbDhbH9Cz0tuDiY8C3ctxq1tqvaCgkFb8cCA/edit?usp=sharing"",""สกลนคร!I388"")"),0)</f>
        <v>0</v>
      </c>
      <c r="J493" s="189">
        <f ca="1">IFERROR(__xludf.DUMMYFUNCTION("IMPORTRANGE(""https://docs.google.com/spreadsheets/d/1XL5vhW3sbDhbH9Cz0tuDiY8C3ctxq1tqvaCgkFb8cCA/edit?usp=sharing"",""สกลนคร!J388"")"),0)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IFERROR(__xludf.DUMMYFUNCTION("IMPORTRANGE(""https://docs.google.com/spreadsheets/d/1XL5vhW3sbDhbH9Cz0tuDiY8C3ctxq1tqvaCgkFb8cCA/edit?usp=sharing"",""สกลนคร!I389"")"),0)</f>
        <v>0</v>
      </c>
      <c r="J494" s="436">
        <f ca="1">IFERROR(__xludf.DUMMYFUNCTION("IMPORTRANGE(""https://docs.google.com/spreadsheets/d/1XL5vhW3sbDhbH9Cz0tuDiY8C3ctxq1tqvaCgkFb8cCA/edit?usp=sharing"",""สกลนคร!J389"")"),0)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IFERROR(__xludf.DUMMYFUNCTION("IMPORTRANGE(""https://docs.google.com/spreadsheets/d/1XL5vhW3sbDhbH9Cz0tuDiY8C3ctxq1tqvaCgkFb8cCA/edit?usp=sharing"",""สกลนคร!I390"")"),0)</f>
        <v>0</v>
      </c>
      <c r="J495" s="436">
        <f ca="1">IFERROR(__xludf.DUMMYFUNCTION("IMPORTRANGE(""https://docs.google.com/spreadsheets/d/1XL5vhW3sbDhbH9Cz0tuDiY8C3ctxq1tqvaCgkFb8cCA/edit?usp=sharing"",""สกลนคร!J390"")"),0)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IFERROR(__xludf.DUMMYFUNCTION("IMPORTRANGE(""https://docs.google.com/spreadsheets/d/1XL5vhW3sbDhbH9Cz0tuDiY8C3ctxq1tqvaCgkFb8cCA/edit?usp=sharing"",""สกลนคร!I391"")"),0)</f>
        <v>0</v>
      </c>
      <c r="J496" s="436">
        <f ca="1">IFERROR(__xludf.DUMMYFUNCTION("IMPORTRANGE(""https://docs.google.com/spreadsheets/d/1XL5vhW3sbDhbH9Cz0tuDiY8C3ctxq1tqvaCgkFb8cCA/edit?usp=sharing"",""สกลนคร!J391"")"),0)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IFERROR(__xludf.DUMMYFUNCTION("IMPORTRANGE(""https://docs.google.com/spreadsheets/d/1XL5vhW3sbDhbH9Cz0tuDiY8C3ctxq1tqvaCgkFb8cCA/edit?usp=sharing"",""สกลนคร!I392"")"),3350)</f>
        <v>3350</v>
      </c>
      <c r="J497" s="443">
        <f ca="1">IFERROR(__xludf.DUMMYFUNCTION("IMPORTRANGE(""https://docs.google.com/spreadsheets/d/1XL5vhW3sbDhbH9Cz0tuDiY8C3ctxq1tqvaCgkFb8cCA/edit?usp=sharing"",""สกลนคร!J392"")"),2196)</f>
        <v>2196</v>
      </c>
      <c r="K497" s="444">
        <f t="shared" ca="1" si="117"/>
        <v>65.552238805970148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IFERROR(__xludf.DUMMYFUNCTION("IMPORTRANGE(""https://docs.google.com/spreadsheets/d/1XL5vhW3sbDhbH9Cz0tuDiY8C3ctxq1tqvaCgkFb8cCA/edit?usp=sharing"",""สกลนคร!I393"")"),3350)</f>
        <v>3350</v>
      </c>
      <c r="J498" s="420">
        <f ca="1">IFERROR(__xludf.DUMMYFUNCTION("IMPORTRANGE(""https://docs.google.com/spreadsheets/d/1XL5vhW3sbDhbH9Cz0tuDiY8C3ctxq1tqvaCgkFb8cCA/edit?usp=sharing"",""สกลนคร!J393"")"),2196)</f>
        <v>2196</v>
      </c>
      <c r="K498" s="202">
        <f t="shared" ca="1" si="117"/>
        <v>65.552238805970148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IFERROR(__xludf.DUMMYFUNCTION("IMPORTRANGE(""https://docs.google.com/spreadsheets/d/1XL5vhW3sbDhbH9Cz0tuDiY8C3ctxq1tqvaCgkFb8cCA/edit?usp=sharing"",""สกลนคร!I394"")"),366)</f>
        <v>366</v>
      </c>
      <c r="J499" s="420">
        <f ca="1">IFERROR(__xludf.DUMMYFUNCTION("IMPORTRANGE(""https://docs.google.com/spreadsheets/d/1XL5vhW3sbDhbH9Cz0tuDiY8C3ctxq1tqvaCgkFb8cCA/edit?usp=sharing"",""สกลนคร!J394"")"),230)</f>
        <v>230</v>
      </c>
      <c r="K499" s="202">
        <f t="shared" ca="1" si="117"/>
        <v>62.841530054644807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IFERROR(__xludf.DUMMYFUNCTION("IMPORTRANGE(""https://docs.google.com/spreadsheets/d/1XL5vhW3sbDhbH9Cz0tuDiY8C3ctxq1tqvaCgkFb8cCA/edit?usp=sharing"",""สกลนคร!I395"")"),0)</f>
        <v>0</v>
      </c>
      <c r="J500" s="162">
        <f ca="1">IFERROR(__xludf.DUMMYFUNCTION("IMPORTRANGE(""https://docs.google.com/spreadsheets/d/1XL5vhW3sbDhbH9Cz0tuDiY8C3ctxq1tqvaCgkFb8cCA/edit?usp=sharing"",""สกลนคร!J395"")"),2196)</f>
        <v>2196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IFERROR(__xludf.DUMMYFUNCTION("IMPORTRANGE(""https://docs.google.com/spreadsheets/d/1XL5vhW3sbDhbH9Cz0tuDiY8C3ctxq1tqvaCgkFb8cCA/edit?usp=sharing"",""สกลนคร!I396"")"),0)</f>
        <v>0</v>
      </c>
      <c r="J501" s="162">
        <f ca="1">IFERROR(__xludf.DUMMYFUNCTION("IMPORTRANGE(""https://docs.google.com/spreadsheets/d/1XL5vhW3sbDhbH9Cz0tuDiY8C3ctxq1tqvaCgkFb8cCA/edit?usp=sharing"",""สกลนคร!J396"")"),230)</f>
        <v>230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IFERROR(__xludf.DUMMYFUNCTION("IMPORTRANGE(""https://docs.google.com/spreadsheets/d/1XL5vhW3sbDhbH9Cz0tuDiY8C3ctxq1tqvaCgkFb8cCA/edit?usp=sharing"",""สกลนคร!I397"")"),0)</f>
        <v>0</v>
      </c>
      <c r="J502" s="189">
        <f ca="1">IFERROR(__xludf.DUMMYFUNCTION("IMPORTRANGE(""https://docs.google.com/spreadsheets/d/1XL5vhW3sbDhbH9Cz0tuDiY8C3ctxq1tqvaCgkFb8cCA/edit?usp=sharing"",""สกลนคร!J397"")"),2124)</f>
        <v>2124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IFERROR(__xludf.DUMMYFUNCTION("IMPORTRANGE(""https://docs.google.com/spreadsheets/d/1XL5vhW3sbDhbH9Cz0tuDiY8C3ctxq1tqvaCgkFb8cCA/edit?usp=sharing"",""สกลนคร!I398"")"),0)</f>
        <v>0</v>
      </c>
      <c r="J503" s="198">
        <f ca="1">IFERROR(__xludf.DUMMYFUNCTION("IMPORTRANGE(""https://docs.google.com/spreadsheets/d/1XL5vhW3sbDhbH9Cz0tuDiY8C3ctxq1tqvaCgkFb8cCA/edit?usp=sharing"",""สกลนคร!J398"")"),215)</f>
        <v>215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IFERROR(__xludf.DUMMYFUNCTION("IMPORTRANGE(""https://docs.google.com/spreadsheets/d/1XL5vhW3sbDhbH9Cz0tuDiY8C3ctxq1tqvaCgkFb8cCA/edit?usp=sharing"",""สกลนคร!I399"")"),0)</f>
        <v>0</v>
      </c>
      <c r="J504" s="189">
        <f ca="1">IFERROR(__xludf.DUMMYFUNCTION("IMPORTRANGE(""https://docs.google.com/spreadsheets/d/1XL5vhW3sbDhbH9Cz0tuDiY8C3ctxq1tqvaCgkFb8cCA/edit?usp=sharing"",""สกลนคร!J399"")"),72)</f>
        <v>72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IFERROR(__xludf.DUMMYFUNCTION("IMPORTRANGE(""https://docs.google.com/spreadsheets/d/1XL5vhW3sbDhbH9Cz0tuDiY8C3ctxq1tqvaCgkFb8cCA/edit?usp=sharing"",""สกลนคร!I400"")"),0)</f>
        <v>0</v>
      </c>
      <c r="J505" s="198">
        <f ca="1">IFERROR(__xludf.DUMMYFUNCTION("IMPORTRANGE(""https://docs.google.com/spreadsheets/d/1XL5vhW3sbDhbH9Cz0tuDiY8C3ctxq1tqvaCgkFb8cCA/edit?usp=sharing"",""สกลนคร!J400"")"),15)</f>
        <v>15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IFERROR(__xludf.DUMMYFUNCTION("IMPORTRANGE(""https://docs.google.com/spreadsheets/d/1XL5vhW3sbDhbH9Cz0tuDiY8C3ctxq1tqvaCgkFb8cCA/edit?usp=sharing"",""สกลนคร!I401"")"),0)</f>
        <v>0</v>
      </c>
      <c r="J506" s="189">
        <f ca="1">IFERROR(__xludf.DUMMYFUNCTION("IMPORTRANGE(""https://docs.google.com/spreadsheets/d/1XL5vhW3sbDhbH9Cz0tuDiY8C3ctxq1tqvaCgkFb8cCA/edit?usp=sharing"",""สกลนคร!J401"")"),0)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IFERROR(__xludf.DUMMYFUNCTION("IMPORTRANGE(""https://docs.google.com/spreadsheets/d/1XL5vhW3sbDhbH9Cz0tuDiY8C3ctxq1tqvaCgkFb8cCA/edit?usp=sharing"",""สกลนคร!I402"")"),0)</f>
        <v>0</v>
      </c>
      <c r="J507" s="198">
        <f ca="1">IFERROR(__xludf.DUMMYFUNCTION("IMPORTRANGE(""https://docs.google.com/spreadsheets/d/1XL5vhW3sbDhbH9Cz0tuDiY8C3ctxq1tqvaCgkFb8cCA/edit?usp=sharing"",""สกลนคร!J402"")"),0)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IFERROR(__xludf.DUMMYFUNCTION("IMPORTRANGE(""https://docs.google.com/spreadsheets/d/1XL5vhW3sbDhbH9Cz0tuDiY8C3ctxq1tqvaCgkFb8cCA/edit?usp=sharing"",""สกลนคร!I403"")"),0)</f>
        <v>0</v>
      </c>
      <c r="J508" s="162">
        <f ca="1">IFERROR(__xludf.DUMMYFUNCTION("IMPORTRANGE(""https://docs.google.com/spreadsheets/d/1XL5vhW3sbDhbH9Cz0tuDiY8C3ctxq1tqvaCgkFb8cCA/edit?usp=sharing"",""สกลนคร!J403"")"),0)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IFERROR(__xludf.DUMMYFUNCTION("IMPORTRANGE(""https://docs.google.com/spreadsheets/d/1XL5vhW3sbDhbH9Cz0tuDiY8C3ctxq1tqvaCgkFb8cCA/edit?usp=sharing"",""สกลนคร!I404"")"),0)</f>
        <v>0</v>
      </c>
      <c r="J509" s="162">
        <f ca="1">IFERROR(__xludf.DUMMYFUNCTION("IMPORTRANGE(""https://docs.google.com/spreadsheets/d/1XL5vhW3sbDhbH9Cz0tuDiY8C3ctxq1tqvaCgkFb8cCA/edit?usp=sharing"",""สกลนคร!J404"")"),0)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IFERROR(__xludf.DUMMYFUNCTION("IMPORTRANGE(""https://docs.google.com/spreadsheets/d/1XL5vhW3sbDhbH9Cz0tuDiY8C3ctxq1tqvaCgkFb8cCA/edit?usp=sharing"",""สกลนคร!I405"")"),0)</f>
        <v>0</v>
      </c>
      <c r="J510" s="198">
        <f ca="1">IFERROR(__xludf.DUMMYFUNCTION("IMPORTRANGE(""https://docs.google.com/spreadsheets/d/1XL5vhW3sbDhbH9Cz0tuDiY8C3ctxq1tqvaCgkFb8cCA/edit?usp=sharing"",""สกลนคร!J405"")"),0)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IFERROR(__xludf.DUMMYFUNCTION("IMPORTRANGE(""https://docs.google.com/spreadsheets/d/1XL5vhW3sbDhbH9Cz0tuDiY8C3ctxq1tqvaCgkFb8cCA/edit?usp=sharing"",""สกลนคร!I406"")"),0)</f>
        <v>0</v>
      </c>
      <c r="J511" s="198">
        <f ca="1">IFERROR(__xludf.DUMMYFUNCTION("IMPORTRANGE(""https://docs.google.com/spreadsheets/d/1XL5vhW3sbDhbH9Cz0tuDiY8C3ctxq1tqvaCgkFb8cCA/edit?usp=sharing"",""สกลนคร!J406"")"),0)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IFERROR(__xludf.DUMMYFUNCTION("IMPORTRANGE(""https://docs.google.com/spreadsheets/d/1XL5vhW3sbDhbH9Cz0tuDiY8C3ctxq1tqvaCgkFb8cCA/edit?usp=sharing"",""สกลนคร!I407"")"),0)</f>
        <v>0</v>
      </c>
      <c r="J512" s="198">
        <f ca="1">IFERROR(__xludf.DUMMYFUNCTION("IMPORTRANGE(""https://docs.google.com/spreadsheets/d/1XL5vhW3sbDhbH9Cz0tuDiY8C3ctxq1tqvaCgkFb8cCA/edit?usp=sharing"",""สกลนคร!J407"")"),0)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IFERROR(__xludf.DUMMYFUNCTION("IMPORTRANGE(""https://docs.google.com/spreadsheets/d/1XL5vhW3sbDhbH9Cz0tuDiY8C3ctxq1tqvaCgkFb8cCA/edit?usp=sharing"",""สกลนคร!I408"")"),0)</f>
        <v>0</v>
      </c>
      <c r="J513" s="198">
        <f ca="1">IFERROR(__xludf.DUMMYFUNCTION("IMPORTRANGE(""https://docs.google.com/spreadsheets/d/1XL5vhW3sbDhbH9Cz0tuDiY8C3ctxq1tqvaCgkFb8cCA/edit?usp=sharing"",""สกลนคร!J408"")"),0)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IFERROR(__xludf.DUMMYFUNCTION("IMPORTRANGE(""https://docs.google.com/spreadsheets/d/1XL5vhW3sbDhbH9Cz0tuDiY8C3ctxq1tqvaCgkFb8cCA/edit?usp=sharing"",""สกลนคร!I409"")"),0)</f>
        <v>0</v>
      </c>
      <c r="J514" s="198">
        <f ca="1">IFERROR(__xludf.DUMMYFUNCTION("IMPORTRANGE(""https://docs.google.com/spreadsheets/d/1XL5vhW3sbDhbH9Cz0tuDiY8C3ctxq1tqvaCgkFb8cCA/edit?usp=sharing"",""สกลนคร!J409"")"),0)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IFERROR(__xludf.DUMMYFUNCTION("IMPORTRANGE(""https://docs.google.com/spreadsheets/d/1XL5vhW3sbDhbH9Cz0tuDiY8C3ctxq1tqvaCgkFb8cCA/edit?usp=sharing"",""สกลนคร!I410"")"),0)</f>
        <v>0</v>
      </c>
      <c r="J515" s="198">
        <f ca="1">IFERROR(__xludf.DUMMYFUNCTION("IMPORTRANGE(""https://docs.google.com/spreadsheets/d/1XL5vhW3sbDhbH9Cz0tuDiY8C3ctxq1tqvaCgkFb8cCA/edit?usp=sharing"",""สกลนคร!J410"")"),0)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IFERROR(__xludf.DUMMYFUNCTION("IMPORTRANGE(""https://docs.google.com/spreadsheets/d/1XL5vhW3sbDhbH9Cz0tuDiY8C3ctxq1tqvaCgkFb8cCA/edit?usp=sharing"",""สกลนคร!I411"")"),0)</f>
        <v>0</v>
      </c>
      <c r="J516" s="267">
        <f ca="1">IFERROR(__xludf.DUMMYFUNCTION("IMPORTRANGE(""https://docs.google.com/spreadsheets/d/1XL5vhW3sbDhbH9Cz0tuDiY8C3ctxq1tqvaCgkFb8cCA/edit?usp=sharing"",""สกลนคร!J411"")"),0)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IFERROR(__xludf.DUMMYFUNCTION("IMPORTRANGE(""https://docs.google.com/spreadsheets/d/1XL5vhW3sbDhbH9Cz0tuDiY8C3ctxq1tqvaCgkFb8cCA/edit?usp=sharing"",""สกลนคร!I412"")"),0)</f>
        <v>0</v>
      </c>
      <c r="J517" s="284">
        <f ca="1">IFERROR(__xludf.DUMMYFUNCTION("IMPORTRANGE(""https://docs.google.com/spreadsheets/d/1XL5vhW3sbDhbH9Cz0tuDiY8C3ctxq1tqvaCgkFb8cCA/edit?usp=sharing"",""สกลนคร!J412"")"),0)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IFERROR(__xludf.DUMMYFUNCTION("IMPORTRANGE(""https://docs.google.com/spreadsheets/d/1XL5vhW3sbDhbH9Cz0tuDiY8C3ctxq1tqvaCgkFb8cCA/edit?usp=sharing"",""สกลนคร!I413"")"),0)</f>
        <v>0</v>
      </c>
      <c r="J518" s="284">
        <f ca="1">IFERROR(__xludf.DUMMYFUNCTION("IMPORTRANGE(""https://docs.google.com/spreadsheets/d/1XL5vhW3sbDhbH9Cz0tuDiY8C3ctxq1tqvaCgkFb8cCA/edit?usp=sharing"",""สกลนคร!J413"")"),0)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IFERROR(__xludf.DUMMYFUNCTION("IMPORTRANGE(""https://docs.google.com/spreadsheets/d/1XL5vhW3sbDhbH9Cz0tuDiY8C3ctxq1tqvaCgkFb8cCA/edit?usp=sharing"",""สกลนคร!I414"")"),0)</f>
        <v>0</v>
      </c>
      <c r="J519" s="188">
        <f ca="1">IFERROR(__xludf.DUMMYFUNCTION("IMPORTRANGE(""https://docs.google.com/spreadsheets/d/1XL5vhW3sbDhbH9Cz0tuDiY8C3ctxq1tqvaCgkFb8cCA/edit?usp=sharing"",""สกลนคร!J414"")"),0)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IFERROR(__xludf.DUMMYFUNCTION("IMPORTRANGE(""https://docs.google.com/spreadsheets/d/1XL5vhW3sbDhbH9Cz0tuDiY8C3ctxq1tqvaCgkFb8cCA/edit?usp=sharing"",""สกลนคร!I415"")"),0)</f>
        <v>0</v>
      </c>
      <c r="J520" s="188">
        <f ca="1">IFERROR(__xludf.DUMMYFUNCTION("IMPORTRANGE(""https://docs.google.com/spreadsheets/d/1XL5vhW3sbDhbH9Cz0tuDiY8C3ctxq1tqvaCgkFb8cCA/edit?usp=sharing"",""สกลนคร!J415"")"),0)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IFERROR(__xludf.DUMMYFUNCTION("IMPORTRANGE(""https://docs.google.com/spreadsheets/d/1XL5vhW3sbDhbH9Cz0tuDiY8C3ctxq1tqvaCgkFb8cCA/edit?usp=sharing"",""สกลนคร!I416"")"),0)</f>
        <v>0</v>
      </c>
      <c r="J521" s="188">
        <f ca="1">IFERROR(__xludf.DUMMYFUNCTION("IMPORTRANGE(""https://docs.google.com/spreadsheets/d/1XL5vhW3sbDhbH9Cz0tuDiY8C3ctxq1tqvaCgkFb8cCA/edit?usp=sharing"",""สกลนคร!J416"")"),0)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IFERROR(__xludf.DUMMYFUNCTION("IMPORTRANGE(""https://docs.google.com/spreadsheets/d/1XL5vhW3sbDhbH9Cz0tuDiY8C3ctxq1tqvaCgkFb8cCA/edit?usp=sharing"",""สกลนคร!I417"")"),0)</f>
        <v>0</v>
      </c>
      <c r="J522" s="188">
        <f ca="1">IFERROR(__xludf.DUMMYFUNCTION("IMPORTRANGE(""https://docs.google.com/spreadsheets/d/1XL5vhW3sbDhbH9Cz0tuDiY8C3ctxq1tqvaCgkFb8cCA/edit?usp=sharing"",""สกลนคร!J417"")"),0)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IFERROR(__xludf.DUMMYFUNCTION("IMPORTRANGE(""https://docs.google.com/spreadsheets/d/1XL5vhW3sbDhbH9Cz0tuDiY8C3ctxq1tqvaCgkFb8cCA/edit?usp=sharing"",""สกลนคร!I418"")"),0)</f>
        <v>0</v>
      </c>
      <c r="J523" s="188">
        <f ca="1">IFERROR(__xludf.DUMMYFUNCTION("IMPORTRANGE(""https://docs.google.com/spreadsheets/d/1XL5vhW3sbDhbH9Cz0tuDiY8C3ctxq1tqvaCgkFb8cCA/edit?usp=sharing"",""สกลนคร!J418"")"),0)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IFERROR(__xludf.DUMMYFUNCTION("IMPORTRANGE(""https://docs.google.com/spreadsheets/d/1XL5vhW3sbDhbH9Cz0tuDiY8C3ctxq1tqvaCgkFb8cCA/edit?usp=sharing"",""สกลนคร!I419"")"),0)</f>
        <v>0</v>
      </c>
      <c r="J524" s="188">
        <f ca="1">IFERROR(__xludf.DUMMYFUNCTION("IMPORTRANGE(""https://docs.google.com/spreadsheets/d/1XL5vhW3sbDhbH9Cz0tuDiY8C3ctxq1tqvaCgkFb8cCA/edit?usp=sharing"",""สกลนคร!J419"")"),0)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IFERROR(__xludf.DUMMYFUNCTION("IMPORTRANGE(""https://docs.google.com/spreadsheets/d/1XL5vhW3sbDhbH9Cz0tuDiY8C3ctxq1tqvaCgkFb8cCA/edit?usp=sharing"",""สกลนคร!I420"")"),0)</f>
        <v>0</v>
      </c>
      <c r="J525" s="284">
        <f ca="1">IFERROR(__xludf.DUMMYFUNCTION("IMPORTRANGE(""https://docs.google.com/spreadsheets/d/1XL5vhW3sbDhbH9Cz0tuDiY8C3ctxq1tqvaCgkFb8cCA/edit?usp=sharing"",""สกลนคร!J420"")"),0)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IFERROR(__xludf.DUMMYFUNCTION("IMPORTRANGE(""https://docs.google.com/spreadsheets/d/1XL5vhW3sbDhbH9Cz0tuDiY8C3ctxq1tqvaCgkFb8cCA/edit?usp=sharing"",""สกลนคร!I421"")"),0)</f>
        <v>0</v>
      </c>
      <c r="J526" s="284">
        <f ca="1">IFERROR(__xludf.DUMMYFUNCTION("IMPORTRANGE(""https://docs.google.com/spreadsheets/d/1XL5vhW3sbDhbH9Cz0tuDiY8C3ctxq1tqvaCgkFb8cCA/edit?usp=sharing"",""สกลนคร!J421"")"),0)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IFERROR(__xludf.DUMMYFUNCTION("IMPORTRANGE(""https://docs.google.com/spreadsheets/d/1XL5vhW3sbDhbH9Cz0tuDiY8C3ctxq1tqvaCgkFb8cCA/edit?usp=sharing"",""สกลนคร!I422"")"),0)</f>
        <v>0</v>
      </c>
      <c r="J527" s="198">
        <f ca="1">IFERROR(__xludf.DUMMYFUNCTION("IMPORTRANGE(""https://docs.google.com/spreadsheets/d/1XL5vhW3sbDhbH9Cz0tuDiY8C3ctxq1tqvaCgkFb8cCA/edit?usp=sharing"",""สกลนคร!J422"")"),0)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IFERROR(__xludf.DUMMYFUNCTION("IMPORTRANGE(""https://docs.google.com/spreadsheets/d/1XL5vhW3sbDhbH9Cz0tuDiY8C3ctxq1tqvaCgkFb8cCA/edit?usp=sharing"",""สกลนคร!I423"")"),0)</f>
        <v>0</v>
      </c>
      <c r="J528" s="198">
        <f ca="1">IFERROR(__xludf.DUMMYFUNCTION("IMPORTRANGE(""https://docs.google.com/spreadsheets/d/1XL5vhW3sbDhbH9Cz0tuDiY8C3ctxq1tqvaCgkFb8cCA/edit?usp=sharing"",""สกลนคร!J423"")"),0)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IFERROR(__xludf.DUMMYFUNCTION("IMPORTRANGE(""https://docs.google.com/spreadsheets/d/1XL5vhW3sbDhbH9Cz0tuDiY8C3ctxq1tqvaCgkFb8cCA/edit?usp=sharing"",""สกลนคร!I424"")"),0)</f>
        <v>0</v>
      </c>
      <c r="J529" s="198">
        <f ca="1">IFERROR(__xludf.DUMMYFUNCTION("IMPORTRANGE(""https://docs.google.com/spreadsheets/d/1XL5vhW3sbDhbH9Cz0tuDiY8C3ctxq1tqvaCgkFb8cCA/edit?usp=sharing"",""สกลนคร!J424"")"),0)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IFERROR(__xludf.DUMMYFUNCTION("IMPORTRANGE(""https://docs.google.com/spreadsheets/d/1XL5vhW3sbDhbH9Cz0tuDiY8C3ctxq1tqvaCgkFb8cCA/edit?usp=sharing"",""สกลนคร!I425"")"),0)</f>
        <v>0</v>
      </c>
      <c r="J530" s="198">
        <f ca="1">IFERROR(__xludf.DUMMYFUNCTION("IMPORTRANGE(""https://docs.google.com/spreadsheets/d/1XL5vhW3sbDhbH9Cz0tuDiY8C3ctxq1tqvaCgkFb8cCA/edit?usp=sharing"",""สกลนคร!J425"")"),0)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IFERROR(__xludf.DUMMYFUNCTION("IMPORTRANGE(""https://docs.google.com/spreadsheets/d/1XL5vhW3sbDhbH9Cz0tuDiY8C3ctxq1tqvaCgkFb8cCA/edit?usp=sharing"",""สกลนคร!I426"")"),0)</f>
        <v>0</v>
      </c>
      <c r="J531" s="198">
        <f ca="1">IFERROR(__xludf.DUMMYFUNCTION("IMPORTRANGE(""https://docs.google.com/spreadsheets/d/1XL5vhW3sbDhbH9Cz0tuDiY8C3ctxq1tqvaCgkFb8cCA/edit?usp=sharing"",""สกลนคร!J426"")"),0)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IFERROR(__xludf.DUMMYFUNCTION("IMPORTRANGE(""https://docs.google.com/spreadsheets/d/1XL5vhW3sbDhbH9Cz0tuDiY8C3ctxq1tqvaCgkFb8cCA/edit?usp=sharing"",""สกลนคร!I427"")"),0)</f>
        <v>0</v>
      </c>
      <c r="J532" s="466">
        <f ca="1">IFERROR(__xludf.DUMMYFUNCTION("IMPORTRANGE(""https://docs.google.com/spreadsheets/d/1XL5vhW3sbDhbH9Cz0tuDiY8C3ctxq1tqvaCgkFb8cCA/edit?usp=sharing"",""สกลนคร!J427"")"),0)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IFERROR(__xludf.DUMMYFUNCTION("IMPORTRANGE(""https://docs.google.com/spreadsheets/d/1XL5vhW3sbDhbH9Cz0tuDiY8C3ctxq1tqvaCgkFb8cCA/edit?usp=sharing"",""สกลนคร!I428"")"),26)</f>
        <v>26</v>
      </c>
      <c r="J533" s="410">
        <f ca="1">IFERROR(__xludf.DUMMYFUNCTION("IMPORTRANGE(""https://docs.google.com/spreadsheets/d/1XL5vhW3sbDhbH9Cz0tuDiY8C3ctxq1tqvaCgkFb8cCA/edit?usp=sharing"",""สกลนคร!J428"")"),26)</f>
        <v>26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IFERROR(__xludf.DUMMYFUNCTION("IMPORTRANGE(""https://docs.google.com/spreadsheets/d/1XL5vhW3sbDhbH9Cz0tuDiY8C3ctxq1tqvaCgkFb8cCA/edit?usp=sharing"",""สกลนคร!L428"")"),37740)</f>
        <v>37740</v>
      </c>
      <c r="M533" s="412"/>
      <c r="N533" s="412">
        <f ca="1">IFERROR(__xludf.DUMMYFUNCTION("IMPORTRANGE(""https://docs.google.com/spreadsheets/d/1XL5vhW3sbDhbH9Cz0tuDiY8C3ctxq1tqvaCgkFb8cCA/edit?usp=sharing"",""สกลนคร!M428"")"),33995)</f>
        <v>33995</v>
      </c>
      <c r="O533" s="412">
        <f t="shared" ref="O533:O537" ca="1" si="118">+IF(L533&gt;0,N533*100/L533,0)</f>
        <v>90.07684154742978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IFERROR(__xludf.DUMMYFUNCTION("IMPORTRANGE(""https://docs.google.com/spreadsheets/d/1XL5vhW3sbDhbH9Cz0tuDiY8C3ctxq1tqvaCgkFb8cCA/edit?usp=sharing"",""สกลนคร!L429"")"),0)</f>
        <v>0</v>
      </c>
      <c r="M534" s="164"/>
      <c r="N534" s="169">
        <f ca="1">IFERROR(__xludf.DUMMYFUNCTION("IMPORTRANGE(""https://docs.google.com/spreadsheets/d/1XL5vhW3sbDhbH9Cz0tuDiY8C3ctxq1tqvaCgkFb8cCA/edit?usp=sharing"",""สกลนคร!M429"")"),0)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IFERROR(__xludf.DUMMYFUNCTION("IMPORTRANGE(""https://docs.google.com/spreadsheets/d/1XL5vhW3sbDhbH9Cz0tuDiY8C3ctxq1tqvaCgkFb8cCA/edit?usp=sharing"",""สกลนคร!L430"")"),37740)</f>
        <v>37740</v>
      </c>
      <c r="M535" s="165"/>
      <c r="N535" s="169">
        <f ca="1">IFERROR(__xludf.DUMMYFUNCTION("IMPORTRANGE(""https://docs.google.com/spreadsheets/d/1XL5vhW3sbDhbH9Cz0tuDiY8C3ctxq1tqvaCgkFb8cCA/edit?usp=sharing"",""สกลนคร!M430"")"),33995)</f>
        <v>33995</v>
      </c>
      <c r="O535" s="169">
        <f t="shared" ca="1" si="118"/>
        <v>90.07684154742978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IFERROR(__xludf.DUMMYFUNCTION("IMPORTRANGE(""https://docs.google.com/spreadsheets/d/1XL5vhW3sbDhbH9Cz0tuDiY8C3ctxq1tqvaCgkFb8cCA/edit?usp=sharing"",""สกลนคร!L431"")"),0)</f>
        <v>0</v>
      </c>
      <c r="M536" s="169"/>
      <c r="N536" s="169">
        <f ca="1">IFERROR(__xludf.DUMMYFUNCTION("IMPORTRANGE(""https://docs.google.com/spreadsheets/d/1XL5vhW3sbDhbH9Cz0tuDiY8C3ctxq1tqvaCgkFb8cCA/edit?usp=sharing"",""สกลนคร!M431"")"),0)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IFERROR(__xludf.DUMMYFUNCTION("IMPORTRANGE(""https://docs.google.com/spreadsheets/d/1XL5vhW3sbDhbH9Cz0tuDiY8C3ctxq1tqvaCgkFb8cCA/edit?usp=sharing"",""สกลนคร!L432"")"),37740)</f>
        <v>37740</v>
      </c>
      <c r="M537" s="169"/>
      <c r="N537" s="169">
        <f ca="1">IFERROR(__xludf.DUMMYFUNCTION("IMPORTRANGE(""https://docs.google.com/spreadsheets/d/1XL5vhW3sbDhbH9Cz0tuDiY8C3ctxq1tqvaCgkFb8cCA/edit?usp=sharing"",""สกลนคร!M432"")"),33995)</f>
        <v>33995</v>
      </c>
      <c r="O537" s="169">
        <f t="shared" ca="1" si="118"/>
        <v>90.07684154742978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IFERROR(__xludf.DUMMYFUNCTION("IMPORTRANGE(""https://docs.google.com/spreadsheets/d/1XL5vhW3sbDhbH9Cz0tuDiY8C3ctxq1tqvaCgkFb8cCA/edit?usp=sharing"",""สกลนคร!M433"")"),22140)</f>
        <v>22140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IFERROR(__xludf.DUMMYFUNCTION("IMPORTRANGE(""https://docs.google.com/spreadsheets/d/1XL5vhW3sbDhbH9Cz0tuDiY8C3ctxq1tqvaCgkFb8cCA/edit?usp=sharing"",""สกลนคร!M434"")"),0)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IFERROR(__xludf.DUMMYFUNCTION("IMPORTRANGE(""https://docs.google.com/spreadsheets/d/1XL5vhW3sbDhbH9Cz0tuDiY8C3ctxq1tqvaCgkFb8cCA/edit?usp=sharing"",""สกลนคร!M435"")"),0)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IFERROR(__xludf.DUMMYFUNCTION("IMPORTRANGE(""https://docs.google.com/spreadsheets/d/1XL5vhW3sbDhbH9Cz0tuDiY8C3ctxq1tqvaCgkFb8cCA/edit?usp=sharing"",""สกลนคร!M436"")"),11855)</f>
        <v>11855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IFERROR(__xludf.DUMMYFUNCTION("IMPORTRANGE(""https://docs.google.com/spreadsheets/d/1XL5vhW3sbDhbH9Cz0tuDiY8C3ctxq1tqvaCgkFb8cCA/edit?usp=sharing"",""สกลนคร!J438"")"),0)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IFERROR(__xludf.DUMMYFUNCTION("IMPORTRANGE(""https://docs.google.com/spreadsheets/d/1XL5vhW3sbDhbH9Cz0tuDiY8C3ctxq1tqvaCgkFb8cCA/edit?usp=sharing"",""สกลนคร!J439"")"),1)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IFERROR(__xludf.DUMMYFUNCTION("IMPORTRANGE(""https://docs.google.com/spreadsheets/d/1XL5vhW3sbDhbH9Cz0tuDiY8C3ctxq1tqvaCgkFb8cCA/edit?usp=sharing"",""สกลนคร!J440"")"),1)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IFERROR(__xludf.DUMMYFUNCTION("IMPORTRANGE(""https://docs.google.com/spreadsheets/d/1XL5vhW3sbDhbH9Cz0tuDiY8C3ctxq1tqvaCgkFb8cCA/edit?usp=sharing"",""สกลนคร!J441"")"),1)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IFERROR(__xludf.DUMMYFUNCTION("IMPORTRANGE(""https://docs.google.com/spreadsheets/d/1XL5vhW3sbDhbH9Cz0tuDiY8C3ctxq1tqvaCgkFb8cCA/edit?usp=sharing"",""สกลนคร!I442"")"),26)</f>
        <v>26</v>
      </c>
      <c r="J547" s="189">
        <f ca="1">IFERROR(__xludf.DUMMYFUNCTION("IMPORTRANGE(""https://docs.google.com/spreadsheets/d/1XL5vhW3sbDhbH9Cz0tuDiY8C3ctxq1tqvaCgkFb8cCA/edit?usp=sharing"",""สกลนคร!J442"")"),26)</f>
        <v>26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IFERROR(__xludf.DUMMYFUNCTION("IMPORTRANGE(""https://docs.google.com/spreadsheets/d/1XL5vhW3sbDhbH9Cz0tuDiY8C3ctxq1tqvaCgkFb8cCA/edit?usp=sharing"",""สกลนคร!J166"")"),0)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IFERROR(__xludf.DUMMYFUNCTION("IMPORTRANGE(""https://docs.google.com/spreadsheets/d/1XL5vhW3sbDhbH9Cz0tuDiY8C3ctxq1tqvaCgkFb8cCA/edit?usp=sharing"",""สกลนคร!J444"")"),0)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IFERROR(__xludf.DUMMYFUNCTION("IMPORTRANGE(""https://docs.google.com/spreadsheets/d/1XL5vhW3sbDhbH9Cz0tuDiY8C3ctxq1tqvaCgkFb8cCA/edit?usp=sharing"",""สกลนคร!J445"")"),0)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IFERROR(__xludf.DUMMYFUNCTION("IMPORTRANGE(""https://docs.google.com/spreadsheets/d/1XL5vhW3sbDhbH9Cz0tuDiY8C3ctxq1tqvaCgkFb8cCA/edit?usp=sharing"",""สกลนคร!I446"")"),0)</f>
        <v>0</v>
      </c>
      <c r="J551" s="410">
        <f ca="1">IFERROR(__xludf.DUMMYFUNCTION("IMPORTRANGE(""https://docs.google.com/spreadsheets/d/1XL5vhW3sbDhbH9Cz0tuDiY8C3ctxq1tqvaCgkFb8cCA/edit?usp=sharing"",""สกลนคร!J446"")"),0)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IFERROR(__xludf.DUMMYFUNCTION("IMPORTRANGE(""https://docs.google.com/spreadsheets/d/1XL5vhW3sbDhbH9Cz0tuDiY8C3ctxq1tqvaCgkFb8cCA/edit?usp=sharing"",""สกลนคร!L446"")"),0)</f>
        <v>0</v>
      </c>
      <c r="M551" s="412"/>
      <c r="N551" s="412">
        <f ca="1">IFERROR(__xludf.DUMMYFUNCTION("IMPORTRANGE(""https://docs.google.com/spreadsheets/d/1XL5vhW3sbDhbH9Cz0tuDiY8C3ctxq1tqvaCgkFb8cCA/edit?usp=sharing"",""สกลนคร!M446"")"),0)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IFERROR(__xludf.DUMMYFUNCTION("IMPORTRANGE(""https://docs.google.com/spreadsheets/d/1XL5vhW3sbDhbH9Cz0tuDiY8C3ctxq1tqvaCgkFb8cCA/edit?usp=sharing"",""สกลนคร!L447"")"),0)</f>
        <v>0</v>
      </c>
      <c r="M552" s="164"/>
      <c r="N552" s="169">
        <f ca="1">IFERROR(__xludf.DUMMYFUNCTION("IMPORTRANGE(""https://docs.google.com/spreadsheets/d/1XL5vhW3sbDhbH9Cz0tuDiY8C3ctxq1tqvaCgkFb8cCA/edit?usp=sharing"",""สกลนคร!M447"")"),0)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IFERROR(__xludf.DUMMYFUNCTION("IMPORTRANGE(""https://docs.google.com/spreadsheets/d/1XL5vhW3sbDhbH9Cz0tuDiY8C3ctxq1tqvaCgkFb8cCA/edit?usp=sharing"",""สกลนคร!L448"")"),0)</f>
        <v>0</v>
      </c>
      <c r="M553" s="165"/>
      <c r="N553" s="169">
        <f ca="1">IFERROR(__xludf.DUMMYFUNCTION("IMPORTRANGE(""https://docs.google.com/spreadsheets/d/1XL5vhW3sbDhbH9Cz0tuDiY8C3ctxq1tqvaCgkFb8cCA/edit?usp=sharing"",""สกลนคร!M448"")"),0)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IFERROR(__xludf.DUMMYFUNCTION("IMPORTRANGE(""https://docs.google.com/spreadsheets/d/1XL5vhW3sbDhbH9Cz0tuDiY8C3ctxq1tqvaCgkFb8cCA/edit?usp=sharing"",""สกลนคร!L449"")"),0)</f>
        <v>0</v>
      </c>
      <c r="M554" s="169"/>
      <c r="N554" s="169">
        <f ca="1">IFERROR(__xludf.DUMMYFUNCTION("IMPORTRANGE(""https://docs.google.com/spreadsheets/d/1XL5vhW3sbDhbH9Cz0tuDiY8C3ctxq1tqvaCgkFb8cCA/edit?usp=sharing"",""สกลนคร!M449"")"),0)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IFERROR(__xludf.DUMMYFUNCTION("IMPORTRANGE(""https://docs.google.com/spreadsheets/d/1XL5vhW3sbDhbH9Cz0tuDiY8C3ctxq1tqvaCgkFb8cCA/edit?usp=sharing"",""สกลนคร!L450"")"),0)</f>
        <v>0</v>
      </c>
      <c r="M555" s="169"/>
      <c r="N555" s="169">
        <f ca="1">IFERROR(__xludf.DUMMYFUNCTION("IMPORTRANGE(""https://docs.google.com/spreadsheets/d/1XL5vhW3sbDhbH9Cz0tuDiY8C3ctxq1tqvaCgkFb8cCA/edit?usp=sharing"",""สกลนคร!M450"")"),0)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IFERROR(__xludf.DUMMYFUNCTION("IMPORTRANGE(""https://docs.google.com/spreadsheets/d/1XL5vhW3sbDhbH9Cz0tuDiY8C3ctxq1tqvaCgkFb8cCA/edit?usp=sharing"",""สกลนคร!M451"")"),0)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IFERROR(__xludf.DUMMYFUNCTION("IMPORTRANGE(""https://docs.google.com/spreadsheets/d/1XL5vhW3sbDhbH9Cz0tuDiY8C3ctxq1tqvaCgkFb8cCA/edit?usp=sharing"",""สกลนคร!M452"")"),0)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IFERROR(__xludf.DUMMYFUNCTION("IMPORTRANGE(""https://docs.google.com/spreadsheets/d/1XL5vhW3sbDhbH9Cz0tuDiY8C3ctxq1tqvaCgkFb8cCA/edit?usp=sharing"",""สกลนคร!M453"")"),0)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IFERROR(__xludf.DUMMYFUNCTION("IMPORTRANGE(""https://docs.google.com/spreadsheets/d/1XL5vhW3sbDhbH9Cz0tuDiY8C3ctxq1tqvaCgkFb8cCA/edit?usp=sharing"",""สกลนคร!M454"")"),0)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IFERROR(__xludf.DUMMYFUNCTION("IMPORTRANGE(""https://docs.google.com/spreadsheets/d/1XL5vhW3sbDhbH9Cz0tuDiY8C3ctxq1tqvaCgkFb8cCA/edit?usp=sharing"",""สกลนคร!I455"")"),0)</f>
        <v>0</v>
      </c>
      <c r="J560" s="162">
        <f ca="1">IFERROR(__xludf.DUMMYFUNCTION("IMPORTRANGE(""https://docs.google.com/spreadsheets/d/1XL5vhW3sbDhbH9Cz0tuDiY8C3ctxq1tqvaCgkFb8cCA/edit?usp=sharing"",""สกลนคร!J455"")"),0)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IFERROR(__xludf.DUMMYFUNCTION("IMPORTRANGE(""https://docs.google.com/spreadsheets/d/1XL5vhW3sbDhbH9Cz0tuDiY8C3ctxq1tqvaCgkFb8cCA/edit?usp=sharing"",""สกลนคร!I456"")"),0)</f>
        <v>0</v>
      </c>
      <c r="J561" s="204">
        <f ca="1">IFERROR(__xludf.DUMMYFUNCTION("IMPORTRANGE(""https://docs.google.com/spreadsheets/d/1XL5vhW3sbDhbH9Cz0tuDiY8C3ctxq1tqvaCgkFb8cCA/edit?usp=sharing"",""สกลนคร!J456"")"),0)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IFERROR(__xludf.DUMMYFUNCTION("IMPORTRANGE(""https://docs.google.com/spreadsheets/d/1XL5vhW3sbDhbH9Cz0tuDiY8C3ctxq1tqvaCgkFb8cCA/edit?usp=sharing"",""สกลนคร!I459"")"),4200)</f>
        <v>4200</v>
      </c>
      <c r="J564" s="371">
        <f ca="1">IFERROR(__xludf.DUMMYFUNCTION("IMPORTRANGE(""https://docs.google.com/spreadsheets/d/1XL5vhW3sbDhbH9Cz0tuDiY8C3ctxq1tqvaCgkFb8cCA/edit?usp=sharing"",""สกลนคร!J459"")"),3550)</f>
        <v>3550</v>
      </c>
      <c r="K564" s="372">
        <f ca="1">IF(I564&gt;0,J564*100/I564,0)</f>
        <v>84.523809523809518</v>
      </c>
      <c r="L564" s="373">
        <f ca="1">IFERROR(__xludf.DUMMYFUNCTION("IMPORTRANGE(""https://docs.google.com/spreadsheets/d/1XL5vhW3sbDhbH9Cz0tuDiY8C3ctxq1tqvaCgkFb8cCA/edit?usp=sharing"",""สกลนคร!L459"")"),167200)</f>
        <v>167200</v>
      </c>
      <c r="M564" s="373"/>
      <c r="N564" s="373">
        <f ca="1">IFERROR(__xludf.DUMMYFUNCTION("IMPORTRANGE(""https://docs.google.com/spreadsheets/d/1XL5vhW3sbDhbH9Cz0tuDiY8C3ctxq1tqvaCgkFb8cCA/edit?usp=sharing"",""สกลนคร!M459"")"),113023.43)</f>
        <v>113023.43</v>
      </c>
      <c r="O564" s="373">
        <f t="shared" ref="O564:O568" ca="1" si="122">+IF(L564&gt;0,N564*100/L564,0)</f>
        <v>67.597745215311008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IFERROR(__xludf.DUMMYFUNCTION("IMPORTRANGE(""https://docs.google.com/spreadsheets/d/1XL5vhW3sbDhbH9Cz0tuDiY8C3ctxq1tqvaCgkFb8cCA/edit?usp=sharing"",""สกลนคร!L460"")"),0)</f>
        <v>0</v>
      </c>
      <c r="M565" s="164"/>
      <c r="N565" s="169">
        <f ca="1">IFERROR(__xludf.DUMMYFUNCTION("IMPORTRANGE(""https://docs.google.com/spreadsheets/d/1XL5vhW3sbDhbH9Cz0tuDiY8C3ctxq1tqvaCgkFb8cCA/edit?usp=sharing"",""สกลนคร!M460"")"),0)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IFERROR(__xludf.DUMMYFUNCTION("IMPORTRANGE(""https://docs.google.com/spreadsheets/d/1XL5vhW3sbDhbH9Cz0tuDiY8C3ctxq1tqvaCgkFb8cCA/edit?usp=sharing"",""สกลนคร!L461"")"),167200)</f>
        <v>167200</v>
      </c>
      <c r="M566" s="165"/>
      <c r="N566" s="169">
        <f ca="1">IFERROR(__xludf.DUMMYFUNCTION("IMPORTRANGE(""https://docs.google.com/spreadsheets/d/1XL5vhW3sbDhbH9Cz0tuDiY8C3ctxq1tqvaCgkFb8cCA/edit?usp=sharing"",""สกลนคร!M461"")"),113023.43)</f>
        <v>113023.43</v>
      </c>
      <c r="O566" s="169">
        <f t="shared" ca="1" si="122"/>
        <v>67.597745215311008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IFERROR(__xludf.DUMMYFUNCTION("IMPORTRANGE(""https://docs.google.com/spreadsheets/d/1XL5vhW3sbDhbH9Cz0tuDiY8C3ctxq1tqvaCgkFb8cCA/edit?usp=sharing"",""สกลนคร!L462"")"),0)</f>
        <v>0</v>
      </c>
      <c r="M567" s="169"/>
      <c r="N567" s="169">
        <f ca="1">IFERROR(__xludf.DUMMYFUNCTION("IMPORTRANGE(""https://docs.google.com/spreadsheets/d/1XL5vhW3sbDhbH9Cz0tuDiY8C3ctxq1tqvaCgkFb8cCA/edit?usp=sharing"",""สกลนคร!M462"")"),0)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IFERROR(__xludf.DUMMYFUNCTION("IMPORTRANGE(""https://docs.google.com/spreadsheets/d/1XL5vhW3sbDhbH9Cz0tuDiY8C3ctxq1tqvaCgkFb8cCA/edit?usp=sharing"",""สกลนคร!L463"")"),167200)</f>
        <v>167200</v>
      </c>
      <c r="M568" s="169"/>
      <c r="N568" s="169">
        <f ca="1">IFERROR(__xludf.DUMMYFUNCTION("IMPORTRANGE(""https://docs.google.com/spreadsheets/d/1XL5vhW3sbDhbH9Cz0tuDiY8C3ctxq1tqvaCgkFb8cCA/edit?usp=sharing"",""สกลนคร!M463"")"),113023.43)</f>
        <v>113023.43</v>
      </c>
      <c r="O568" s="169">
        <f t="shared" ca="1" si="122"/>
        <v>67.597745215311008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IFERROR(__xludf.DUMMYFUNCTION("IMPORTRANGE(""https://docs.google.com/spreadsheets/d/1XL5vhW3sbDhbH9Cz0tuDiY8C3ctxq1tqvaCgkFb8cCA/edit?usp=sharing"",""สกลนคร!M464"")"),0)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IFERROR(__xludf.DUMMYFUNCTION("IMPORTRANGE(""https://docs.google.com/spreadsheets/d/1XL5vhW3sbDhbH9Cz0tuDiY8C3ctxq1tqvaCgkFb8cCA/edit?usp=sharing"",""สกลนคร!M465"")"),0)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IFERROR(__xludf.DUMMYFUNCTION("IMPORTRANGE(""https://docs.google.com/spreadsheets/d/1XL5vhW3sbDhbH9Cz0tuDiY8C3ctxq1tqvaCgkFb8cCA/edit?usp=sharing"",""สกลนคร!M466"")"),54257.26)</f>
        <v>54257.26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IFERROR(__xludf.DUMMYFUNCTION("IMPORTRANGE(""https://docs.google.com/spreadsheets/d/1XL5vhW3sbDhbH9Cz0tuDiY8C3ctxq1tqvaCgkFb8cCA/edit?usp=sharing"",""สกลนคร!M467"")"),58766.17)</f>
        <v>58766.17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IFERROR(__xludf.DUMMYFUNCTION("IMPORTRANGE(""https://docs.google.com/spreadsheets/d/1XL5vhW3sbDhbH9Cz0tuDiY8C3ctxq1tqvaCgkFb8cCA/edit?usp=sharing"",""สกลนคร!I468"")"),4200)</f>
        <v>4200</v>
      </c>
      <c r="J573" s="420">
        <f ca="1">IFERROR(__xludf.DUMMYFUNCTION("IMPORTRANGE(""https://docs.google.com/spreadsheets/d/1XL5vhW3sbDhbH9Cz0tuDiY8C3ctxq1tqvaCgkFb8cCA/edit?usp=sharing"",""สกลนคร!J468"")"),3550)</f>
        <v>3550</v>
      </c>
      <c r="K573" s="202">
        <f ca="1">IF(I573&gt;0,J573*100/I573,0)</f>
        <v>84.523809523809518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IFERROR(__xludf.DUMMYFUNCTION("IMPORTRANGE(""https://docs.google.com/spreadsheets/d/1XL5vhW3sbDhbH9Cz0tuDiY8C3ctxq1tqvaCgkFb8cCA/edit?usp=sharing"",""สกลนคร!I470"")"),0)</f>
        <v>0</v>
      </c>
      <c r="J575" s="198">
        <f ca="1">IFERROR(__xludf.DUMMYFUNCTION("IMPORTRANGE(""https://docs.google.com/spreadsheets/d/1XL5vhW3sbDhbH9Cz0tuDiY8C3ctxq1tqvaCgkFb8cCA/edit?usp=sharing"",""สกลนคร!J470"")"),8)</f>
        <v>8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IFERROR(__xludf.DUMMYFUNCTION("IMPORTRANGE(""https://docs.google.com/spreadsheets/d/1XL5vhW3sbDhbH9Cz0tuDiY8C3ctxq1tqvaCgkFb8cCA/edit?usp=sharing"",""สกลนคร!I471"")"),0)</f>
        <v>0</v>
      </c>
      <c r="J576" s="198">
        <f ca="1">IFERROR(__xludf.DUMMYFUNCTION("IMPORTRANGE(""https://docs.google.com/spreadsheets/d/1XL5vhW3sbDhbH9Cz0tuDiY8C3ctxq1tqvaCgkFb8cCA/edit?usp=sharing"",""สกลนคร!J471"")"),1107)</f>
        <v>1107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IFERROR(__xludf.DUMMYFUNCTION("IMPORTRANGE(""https://docs.google.com/spreadsheets/d/1XL5vhW3sbDhbH9Cz0tuDiY8C3ctxq1tqvaCgkFb8cCA/edit?usp=sharing"",""สกลนคร!I472"")"),0)</f>
        <v>0</v>
      </c>
      <c r="J577" s="189">
        <f ca="1">IFERROR(__xludf.DUMMYFUNCTION("IMPORTRANGE(""https://docs.google.com/spreadsheets/d/1XL5vhW3sbDhbH9Cz0tuDiY8C3ctxq1tqvaCgkFb8cCA/edit?usp=sharing"",""สกลนคร!J472"")"),2443)</f>
        <v>2443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IFERROR(__xludf.DUMMYFUNCTION("IMPORTRANGE(""https://docs.google.com/spreadsheets/d/1XL5vhW3sbDhbH9Cz0tuDiY8C3ctxq1tqvaCgkFb8cCA/edit?usp=sharing"",""สกลนคร!I473"")"),0)</f>
        <v>0</v>
      </c>
      <c r="J578" s="198">
        <f ca="1">IFERROR(__xludf.DUMMYFUNCTION("IMPORTRANGE(""https://docs.google.com/spreadsheets/d/1XL5vhW3sbDhbH9Cz0tuDiY8C3ctxq1tqvaCgkFb8cCA/edit?usp=sharing"",""สกลนคร!J473"")"),0)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IFERROR(__xludf.DUMMYFUNCTION("IMPORTRANGE(""https://docs.google.com/spreadsheets/d/1XL5vhW3sbDhbH9Cz0tuDiY8C3ctxq1tqvaCgkFb8cCA/edit?usp=sharing"",""สกลนคร!I474"")"),0)</f>
        <v>0</v>
      </c>
      <c r="J579" s="198">
        <f ca="1">IFERROR(__xludf.DUMMYFUNCTION("IMPORTRANGE(""https://docs.google.com/spreadsheets/d/1XL5vhW3sbDhbH9Cz0tuDiY8C3ctxq1tqvaCgkFb8cCA/edit?usp=sharing"",""สกลนคร!J474"")"),0)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IFERROR(__xludf.DUMMYFUNCTION("IMPORTRANGE(""https://docs.google.com/spreadsheets/d/1XL5vhW3sbDhbH9Cz0tuDiY8C3ctxq1tqvaCgkFb8cCA/edit?usp=sharing"",""สกลนคร!I475"")"),216)</f>
        <v>216</v>
      </c>
      <c r="J580" s="371">
        <f ca="1">IFERROR(__xludf.DUMMYFUNCTION("IMPORTRANGE(""https://docs.google.com/spreadsheets/d/1XL5vhW3sbDhbH9Cz0tuDiY8C3ctxq1tqvaCgkFb8cCA/edit?usp=sharing"",""สกลนคร!J475"")"),4)</f>
        <v>4</v>
      </c>
      <c r="K580" s="372">
        <f ca="1">IF(I580&gt;0,J580*100/I580,0)</f>
        <v>1.8518518518518519</v>
      </c>
      <c r="L580" s="373">
        <f ca="1">IFERROR(__xludf.DUMMYFUNCTION("IMPORTRANGE(""https://docs.google.com/spreadsheets/d/1XL5vhW3sbDhbH9Cz0tuDiY8C3ctxq1tqvaCgkFb8cCA/edit?usp=sharing"",""สกลนคร!L475"")"),330408)</f>
        <v>330408</v>
      </c>
      <c r="M580" s="373"/>
      <c r="N580" s="373">
        <f ca="1">IFERROR(__xludf.DUMMYFUNCTION("IMPORTRANGE(""https://docs.google.com/spreadsheets/d/1XL5vhW3sbDhbH9Cz0tuDiY8C3ctxq1tqvaCgkFb8cCA/edit?usp=sharing"",""สกลนคร!M475"")"),149567.26)</f>
        <v>149567.26</v>
      </c>
      <c r="O580" s="373">
        <f t="shared" ref="O580:O584" ca="1" si="124">+IF(L580&gt;0,N580*100/L580,0)</f>
        <v>45.267445098181639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IFERROR(__xludf.DUMMYFUNCTION("IMPORTRANGE(""https://docs.google.com/spreadsheets/d/1XL5vhW3sbDhbH9Cz0tuDiY8C3ctxq1tqvaCgkFb8cCA/edit?usp=sharing"",""สกลนคร!L476"")"),0)</f>
        <v>0</v>
      </c>
      <c r="M581" s="164"/>
      <c r="N581" s="169">
        <f ca="1">IFERROR(__xludf.DUMMYFUNCTION("IMPORTRANGE(""https://docs.google.com/spreadsheets/d/1XL5vhW3sbDhbH9Cz0tuDiY8C3ctxq1tqvaCgkFb8cCA/edit?usp=sharing"",""สกลนคร!M476"")"),0)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IFERROR(__xludf.DUMMYFUNCTION("IMPORTRANGE(""https://docs.google.com/spreadsheets/d/1XL5vhW3sbDhbH9Cz0tuDiY8C3ctxq1tqvaCgkFb8cCA/edit?usp=sharing"",""สกลนคร!L477"")"),330408)</f>
        <v>330408</v>
      </c>
      <c r="M582" s="165"/>
      <c r="N582" s="169">
        <f ca="1">IFERROR(__xludf.DUMMYFUNCTION("IMPORTRANGE(""https://docs.google.com/spreadsheets/d/1XL5vhW3sbDhbH9Cz0tuDiY8C3ctxq1tqvaCgkFb8cCA/edit?usp=sharing"",""สกลนคร!M477"")"),149567.26)</f>
        <v>149567.26</v>
      </c>
      <c r="O582" s="169">
        <f t="shared" ca="1" si="124"/>
        <v>45.267445098181639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IFERROR(__xludf.DUMMYFUNCTION("IMPORTRANGE(""https://docs.google.com/spreadsheets/d/1XL5vhW3sbDhbH9Cz0tuDiY8C3ctxq1tqvaCgkFb8cCA/edit?usp=sharing"",""สกลนคร!L478"")"),0)</f>
        <v>0</v>
      </c>
      <c r="M583" s="169"/>
      <c r="N583" s="169">
        <f ca="1">IFERROR(__xludf.DUMMYFUNCTION("IMPORTRANGE(""https://docs.google.com/spreadsheets/d/1XL5vhW3sbDhbH9Cz0tuDiY8C3ctxq1tqvaCgkFb8cCA/edit?usp=sharing"",""สกลนคร!M478"")"),0)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IFERROR(__xludf.DUMMYFUNCTION("IMPORTRANGE(""https://docs.google.com/spreadsheets/d/1XL5vhW3sbDhbH9Cz0tuDiY8C3ctxq1tqvaCgkFb8cCA/edit?usp=sharing"",""สกลนคร!L479"")"),330408)</f>
        <v>330408</v>
      </c>
      <c r="M584" s="169"/>
      <c r="N584" s="169">
        <f ca="1">IFERROR(__xludf.DUMMYFUNCTION("IMPORTRANGE(""https://docs.google.com/spreadsheets/d/1XL5vhW3sbDhbH9Cz0tuDiY8C3ctxq1tqvaCgkFb8cCA/edit?usp=sharing"",""สกลนคร!M479"")"),149567.26)</f>
        <v>149567.26</v>
      </c>
      <c r="O584" s="169">
        <f t="shared" ca="1" si="124"/>
        <v>45.267445098181639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IFERROR(__xludf.DUMMYFUNCTION("IMPORTRANGE(""https://docs.google.com/spreadsheets/d/1XL5vhW3sbDhbH9Cz0tuDiY8C3ctxq1tqvaCgkFb8cCA/edit?usp=sharing"",""สกลนคร!M480"")"),0)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IFERROR(__xludf.DUMMYFUNCTION("IMPORTRANGE(""https://docs.google.com/spreadsheets/d/1XL5vhW3sbDhbH9Cz0tuDiY8C3ctxq1tqvaCgkFb8cCA/edit?usp=sharing"",""สกลนคร!M481"")"),0)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IFERROR(__xludf.DUMMYFUNCTION("IMPORTRANGE(""https://docs.google.com/spreadsheets/d/1XL5vhW3sbDhbH9Cz0tuDiY8C3ctxq1tqvaCgkFb8cCA/edit?usp=sharing"",""สกลนคร!M482"")"),55000)</f>
        <v>55000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IFERROR(__xludf.DUMMYFUNCTION("IMPORTRANGE(""https://docs.google.com/spreadsheets/d/1XL5vhW3sbDhbH9Cz0tuDiY8C3ctxq1tqvaCgkFb8cCA/edit?usp=sharing"",""สกลนคร!M483"")"),94567.26)</f>
        <v>94567.26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IFERROR(__xludf.DUMMYFUNCTION("IMPORTRANGE(""https://docs.google.com/spreadsheets/d/1XL5vhW3sbDhbH9Cz0tuDiY8C3ctxq1tqvaCgkFb8cCA/edit?usp=sharing"",""สกลนคร!I484"")"),216)</f>
        <v>216</v>
      </c>
      <c r="J589" s="188">
        <f ca="1">IFERROR(__xludf.DUMMYFUNCTION("IMPORTRANGE(""https://docs.google.com/spreadsheets/d/1XL5vhW3sbDhbH9Cz0tuDiY8C3ctxq1tqvaCgkFb8cCA/edit?usp=sharing"",""สกลนคร!J484"")"),96)</f>
        <v>96</v>
      </c>
      <c r="K589" s="163">
        <f t="shared" ref="K589:K596" ca="1" si="125">IF(I589&gt;0,J589*100/I589,0)</f>
        <v>44.444444444444443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IFERROR(__xludf.DUMMYFUNCTION("IMPORTRANGE(""https://docs.google.com/spreadsheets/d/1XL5vhW3sbDhbH9Cz0tuDiY8C3ctxq1tqvaCgkFb8cCA/edit?usp=sharing"",""สกลนคร!I485"")"),0)</f>
        <v>0</v>
      </c>
      <c r="J590" s="188">
        <f ca="1">IFERROR(__xludf.DUMMYFUNCTION("IMPORTRANGE(""https://docs.google.com/spreadsheets/d/1XL5vhW3sbDhbH9Cz0tuDiY8C3ctxq1tqvaCgkFb8cCA/edit?usp=sharing"",""สกลนคร!J485"")"),45.56)</f>
        <v>45.56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IFERROR(__xludf.DUMMYFUNCTION("IMPORTRANGE(""https://docs.google.com/spreadsheets/d/1XL5vhW3sbDhbH9Cz0tuDiY8C3ctxq1tqvaCgkFb8cCA/edit?usp=sharing"",""สกลนคร!I486"")"),216)</f>
        <v>216</v>
      </c>
      <c r="J591" s="188">
        <f ca="1">IFERROR(__xludf.DUMMYFUNCTION("IMPORTRANGE(""https://docs.google.com/spreadsheets/d/1XL5vhW3sbDhbH9Cz0tuDiY8C3ctxq1tqvaCgkFb8cCA/edit?usp=sharing"",""สกลนคร!J486"")"),71)</f>
        <v>71</v>
      </c>
      <c r="K591" s="163">
        <f t="shared" ca="1" si="125"/>
        <v>32.870370370370374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IFERROR(__xludf.DUMMYFUNCTION("IMPORTRANGE(""https://docs.google.com/spreadsheets/d/1XL5vhW3sbDhbH9Cz0tuDiY8C3ctxq1tqvaCgkFb8cCA/edit?usp=sharing"",""สกลนคร!I487"")"),0)</f>
        <v>0</v>
      </c>
      <c r="J592" s="188">
        <f ca="1">IFERROR(__xludf.DUMMYFUNCTION("IMPORTRANGE(""https://docs.google.com/spreadsheets/d/1XL5vhW3sbDhbH9Cz0tuDiY8C3ctxq1tqvaCgkFb8cCA/edit?usp=sharing"",""สกลนคร!J487"")"),29.98)</f>
        <v>29.98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IFERROR(__xludf.DUMMYFUNCTION("IMPORTRANGE(""https://docs.google.com/spreadsheets/d/1XL5vhW3sbDhbH9Cz0tuDiY8C3ctxq1tqvaCgkFb8cCA/edit?usp=sharing"",""สกลนคร!I488"")"),216)</f>
        <v>216</v>
      </c>
      <c r="J593" s="188">
        <f ca="1">IFERROR(__xludf.DUMMYFUNCTION("IMPORTRANGE(""https://docs.google.com/spreadsheets/d/1XL5vhW3sbDhbH9Cz0tuDiY8C3ctxq1tqvaCgkFb8cCA/edit?usp=sharing"",""สกลนคร!J488"")"),19)</f>
        <v>19</v>
      </c>
      <c r="K593" s="163">
        <f t="shared" ca="1" si="125"/>
        <v>8.7962962962962958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IFERROR(__xludf.DUMMYFUNCTION("IMPORTRANGE(""https://docs.google.com/spreadsheets/d/1XL5vhW3sbDhbH9Cz0tuDiY8C3ctxq1tqvaCgkFb8cCA/edit?usp=sharing"",""สกลนคร!I489"")"),0)</f>
        <v>0</v>
      </c>
      <c r="J594" s="188">
        <f ca="1">IFERROR(__xludf.DUMMYFUNCTION("IMPORTRANGE(""https://docs.google.com/spreadsheets/d/1XL5vhW3sbDhbH9Cz0tuDiY8C3ctxq1tqvaCgkFb8cCA/edit?usp=sharing"",""สกลนคร!J489"")"),8.02)</f>
        <v>8.02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IFERROR(__xludf.DUMMYFUNCTION("IMPORTRANGE(""https://docs.google.com/spreadsheets/d/1XL5vhW3sbDhbH9Cz0tuDiY8C3ctxq1tqvaCgkFb8cCA/edit?usp=sharing"",""สกลนคร!I490"")"),216)</f>
        <v>216</v>
      </c>
      <c r="J595" s="188">
        <f ca="1">IFERROR(__xludf.DUMMYFUNCTION("IMPORTRANGE(""https://docs.google.com/spreadsheets/d/1XL5vhW3sbDhbH9Cz0tuDiY8C3ctxq1tqvaCgkFb8cCA/edit?usp=sharing"",""สกลนคร!J490"")"),4)</f>
        <v>4</v>
      </c>
      <c r="K595" s="163">
        <f t="shared" ca="1" si="125"/>
        <v>1.8518518518518519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IFERROR(__xludf.DUMMYFUNCTION("IMPORTRANGE(""https://docs.google.com/spreadsheets/d/1XL5vhW3sbDhbH9Cz0tuDiY8C3ctxq1tqvaCgkFb8cCA/edit?usp=sharing"",""สกลนคร!I491"")"),0)</f>
        <v>0</v>
      </c>
      <c r="J596" s="241">
        <f ca="1">IFERROR(__xludf.DUMMYFUNCTION("IMPORTRANGE(""https://docs.google.com/spreadsheets/d/1XL5vhW3sbDhbH9Cz0tuDiY8C3ctxq1tqvaCgkFb8cCA/edit?usp=sharing"",""สกลนคร!J491"")"),3.94)</f>
        <v>3.94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IFERROR(__xludf.DUMMYFUNCTION("IMPORTRANGE(""https://docs.google.com/spreadsheets/d/1XL5vhW3sbDhbH9Cz0tuDiY8C3ctxq1tqvaCgkFb8cCA/edit?usp=sharing"",""สกลนคร!I492"")"),100)</f>
        <v>100</v>
      </c>
      <c r="J597" s="487">
        <f ca="1">IFERROR(__xludf.DUMMYFUNCTION("IMPORTRANGE(""https://docs.google.com/spreadsheets/d/1XL5vhW3sbDhbH9Cz0tuDiY8C3ctxq1tqvaCgkFb8cCA/edit?usp=sharing"",""สกลนคร!J492"")"),0)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IFERROR(__xludf.DUMMYFUNCTION("IMPORTRANGE(""https://docs.google.com/spreadsheets/d/1XL5vhW3sbDhbH9Cz0tuDiY8C3ctxq1tqvaCgkFb8cCA/edit?usp=sharing"",""สกลนคร!L492"")"),20900)</f>
        <v>20900</v>
      </c>
      <c r="M597" s="412"/>
      <c r="N597" s="412">
        <f ca="1">IFERROR(__xludf.DUMMYFUNCTION("IMPORTRANGE(""https://docs.google.com/spreadsheets/d/1XL5vhW3sbDhbH9Cz0tuDiY8C3ctxq1tqvaCgkFb8cCA/edit?usp=sharing"",""สกลนคร!M492"")"),0)</f>
        <v>0</v>
      </c>
      <c r="O597" s="412">
        <f t="shared" ref="O597:O601" ca="1" si="126">+IF(L597&gt;0,N597*100/L597,0)</f>
        <v>0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IFERROR(__xludf.DUMMYFUNCTION("IMPORTRANGE(""https://docs.google.com/spreadsheets/d/1XL5vhW3sbDhbH9Cz0tuDiY8C3ctxq1tqvaCgkFb8cCA/edit?usp=sharing"",""สกลนคร!L493"")"),0)</f>
        <v>0</v>
      </c>
      <c r="M598" s="164"/>
      <c r="N598" s="169">
        <f ca="1">IFERROR(__xludf.DUMMYFUNCTION("IMPORTRANGE(""https://docs.google.com/spreadsheets/d/1XL5vhW3sbDhbH9Cz0tuDiY8C3ctxq1tqvaCgkFb8cCA/edit?usp=sharing"",""สกลนคร!M493"")"),0)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IFERROR(__xludf.DUMMYFUNCTION("IMPORTRANGE(""https://docs.google.com/spreadsheets/d/1XL5vhW3sbDhbH9Cz0tuDiY8C3ctxq1tqvaCgkFb8cCA/edit?usp=sharing"",""สกลนคร!L494"")"),20900)</f>
        <v>20900</v>
      </c>
      <c r="M599" s="165"/>
      <c r="N599" s="169">
        <f ca="1">IFERROR(__xludf.DUMMYFUNCTION("IMPORTRANGE(""https://docs.google.com/spreadsheets/d/1XL5vhW3sbDhbH9Cz0tuDiY8C3ctxq1tqvaCgkFb8cCA/edit?usp=sharing"",""สกลนคร!M494"")"),0)</f>
        <v>0</v>
      </c>
      <c r="O599" s="169">
        <f t="shared" ca="1" si="126"/>
        <v>0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IFERROR(__xludf.DUMMYFUNCTION("IMPORTRANGE(""https://docs.google.com/spreadsheets/d/1XL5vhW3sbDhbH9Cz0tuDiY8C3ctxq1tqvaCgkFb8cCA/edit?usp=sharing"",""สกลนคร!L495"")"),0)</f>
        <v>0</v>
      </c>
      <c r="M600" s="169"/>
      <c r="N600" s="169">
        <f ca="1">IFERROR(__xludf.DUMMYFUNCTION("IMPORTRANGE(""https://docs.google.com/spreadsheets/d/1XL5vhW3sbDhbH9Cz0tuDiY8C3ctxq1tqvaCgkFb8cCA/edit?usp=sharing"",""สกลนคร!M495"")"),0)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IFERROR(__xludf.DUMMYFUNCTION("IMPORTRANGE(""https://docs.google.com/spreadsheets/d/1XL5vhW3sbDhbH9Cz0tuDiY8C3ctxq1tqvaCgkFb8cCA/edit?usp=sharing"",""สกลนคร!L496"")"),20900)</f>
        <v>20900</v>
      </c>
      <c r="M601" s="169"/>
      <c r="N601" s="169">
        <f ca="1">IFERROR(__xludf.DUMMYFUNCTION("IMPORTRANGE(""https://docs.google.com/spreadsheets/d/1XL5vhW3sbDhbH9Cz0tuDiY8C3ctxq1tqvaCgkFb8cCA/edit?usp=sharing"",""สกลนคร!M496"")"),0)</f>
        <v>0</v>
      </c>
      <c r="O601" s="169">
        <f t="shared" ca="1" si="126"/>
        <v>0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IFERROR(__xludf.DUMMYFUNCTION("IMPORTRANGE(""https://docs.google.com/spreadsheets/d/1XL5vhW3sbDhbH9Cz0tuDiY8C3ctxq1tqvaCgkFb8cCA/edit?usp=sharing"",""สกลนคร!M497"")"),0)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IFERROR(__xludf.DUMMYFUNCTION("IMPORTRANGE(""https://docs.google.com/spreadsheets/d/1XL5vhW3sbDhbH9Cz0tuDiY8C3ctxq1tqvaCgkFb8cCA/edit?usp=sharing"",""สกลนคร!M498"")"),0)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IFERROR(__xludf.DUMMYFUNCTION("IMPORTRANGE(""https://docs.google.com/spreadsheets/d/1XL5vhW3sbDhbH9Cz0tuDiY8C3ctxq1tqvaCgkFb8cCA/edit?usp=sharing"",""สกลนคร!M499"")"),0)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IFERROR(__xludf.DUMMYFUNCTION("IMPORTRANGE(""https://docs.google.com/spreadsheets/d/1XL5vhW3sbDhbH9Cz0tuDiY8C3ctxq1tqvaCgkFb8cCA/edit?usp=sharing"",""สกลนคร!M500"")"),0)</f>
        <v>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IFERROR(__xludf.DUMMYFUNCTION("IMPORTRANGE(""https://docs.google.com/spreadsheets/d/1XL5vhW3sbDhbH9Cz0tuDiY8C3ctxq1tqvaCgkFb8cCA/edit?usp=sharing"",""สกลนคร!J502"")"),0)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IFERROR(__xludf.DUMMYFUNCTION("IMPORTRANGE(""https://docs.google.com/spreadsheets/d/1XL5vhW3sbDhbH9Cz0tuDiY8C3ctxq1tqvaCgkFb8cCA/edit?usp=sharing"",""สกลนคร!J503"")"),1)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539"/>
      <c r="B609" s="540"/>
      <c r="C609" s="540"/>
      <c r="D609" s="541"/>
      <c r="E609" s="542" t="s">
        <v>46</v>
      </c>
      <c r="F609" s="543"/>
      <c r="G609" s="544"/>
      <c r="H609" s="545"/>
      <c r="I609" s="546"/>
      <c r="J609" s="546">
        <f ca="1">IFERROR(__xludf.DUMMYFUNCTION("IMPORTRANGE(""https://docs.google.com/spreadsheets/d/1XL5vhW3sbDhbH9Cz0tuDiY8C3ctxq1tqvaCgkFb8cCA/edit?usp=sharing"",""สกลนคร!J166"")"),0)</f>
        <v>0</v>
      </c>
      <c r="K609" s="547"/>
      <c r="L609" s="548"/>
      <c r="M609" s="548"/>
      <c r="N609" s="548"/>
      <c r="O609" s="548"/>
      <c r="P609" s="548"/>
    </row>
    <row r="610" spans="1:16" ht="21.75" hidden="1" customHeight="1" x14ac:dyDescent="0.35">
      <c r="A610" s="539"/>
      <c r="B610" s="540"/>
      <c r="C610" s="540"/>
      <c r="D610" s="541"/>
      <c r="E610" s="542" t="s">
        <v>47</v>
      </c>
      <c r="F610" s="543"/>
      <c r="G610" s="544"/>
      <c r="H610" s="545"/>
      <c r="I610" s="546"/>
      <c r="J610" s="546">
        <f ca="1">IFERROR(__xludf.DUMMYFUNCTION("IMPORTRANGE(""https://docs.google.com/spreadsheets/d/1XL5vhW3sbDhbH9Cz0tuDiY8C3ctxq1tqvaCgkFb8cCA/edit?usp=sharing"",""สกลนคร!J166"")"),0)</f>
        <v>0</v>
      </c>
      <c r="K610" s="547"/>
      <c r="L610" s="548"/>
      <c r="M610" s="548"/>
      <c r="N610" s="548"/>
      <c r="O610" s="548"/>
      <c r="P610" s="548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IFERROR(__xludf.DUMMYFUNCTION("IMPORTRANGE(""https://docs.google.com/spreadsheets/d/1XL5vhW3sbDhbH9Cz0tuDiY8C3ctxq1tqvaCgkFb8cCA/edit?usp=sharing"",""สกลนคร!I506"")"),100)</f>
        <v>100</v>
      </c>
      <c r="J611" s="162">
        <f ca="1">IFERROR(__xludf.DUMMYFUNCTION("IMPORTRANGE(""https://docs.google.com/spreadsheets/d/1XL5vhW3sbDhbH9Cz0tuDiY8C3ctxq1tqvaCgkFb8cCA/edit?usp=sharing"",""สกลนคร!J506"")"),0)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IFERROR(__xludf.DUMMYFUNCTION("IMPORTRANGE(""https://docs.google.com/spreadsheets/d/1XL5vhW3sbDhbH9Cz0tuDiY8C3ctxq1tqvaCgkFb8cCA/edit?usp=sharing"",""สกลนคร!I507"")"),0)</f>
        <v>0</v>
      </c>
      <c r="J612" s="198">
        <f ca="1">IFERROR(__xludf.DUMMYFUNCTION("IMPORTRANGE(""https://docs.google.com/spreadsheets/d/1XL5vhW3sbDhbH9Cz0tuDiY8C3ctxq1tqvaCgkFb8cCA/edit?usp=sharing"",""สกลนคร!J507"")"),0)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IFERROR(__xludf.DUMMYFUNCTION("IMPORTRANGE(""https://docs.google.com/spreadsheets/d/1XL5vhW3sbDhbH9Cz0tuDiY8C3ctxq1tqvaCgkFb8cCA/edit?usp=sharing"",""สกลนคร!I508"")"),0)</f>
        <v>0</v>
      </c>
      <c r="J613" s="198">
        <f ca="1">IFERROR(__xludf.DUMMYFUNCTION("IMPORTRANGE(""https://docs.google.com/spreadsheets/d/1XL5vhW3sbDhbH9Cz0tuDiY8C3ctxq1tqvaCgkFb8cCA/edit?usp=sharing"",""สกลนคร!J508"")"),0)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IFERROR(__xludf.DUMMYFUNCTION("IMPORTRANGE(""https://docs.google.com/spreadsheets/d/1XL5vhW3sbDhbH9Cz0tuDiY8C3ctxq1tqvaCgkFb8cCA/edit?usp=sharing"",""สกลนคร!I509"")"),0)</f>
        <v>0</v>
      </c>
      <c r="J614" s="198">
        <f ca="1">IFERROR(__xludf.DUMMYFUNCTION("IMPORTRANGE(""https://docs.google.com/spreadsheets/d/1XL5vhW3sbDhbH9Cz0tuDiY8C3ctxq1tqvaCgkFb8cCA/edit?usp=sharing"",""สกลนคร!J509"")"),0)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IFERROR(__xludf.DUMMYFUNCTION("IMPORTRANGE(""https://docs.google.com/spreadsheets/d/1XL5vhW3sbDhbH9Cz0tuDiY8C3ctxq1tqvaCgkFb8cCA/edit?usp=sharing"",""สกลนคร!I510"")"),0)</f>
        <v>0</v>
      </c>
      <c r="J615" s="198">
        <f ca="1">IFERROR(__xludf.DUMMYFUNCTION("IMPORTRANGE(""https://docs.google.com/spreadsheets/d/1XL5vhW3sbDhbH9Cz0tuDiY8C3ctxq1tqvaCgkFb8cCA/edit?usp=sharing"",""สกลนคร!J510"")"),0)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IFERROR(__xludf.DUMMYFUNCTION("IMPORTRANGE(""https://docs.google.com/spreadsheets/d/1XL5vhW3sbDhbH9Cz0tuDiY8C3ctxq1tqvaCgkFb8cCA/edit?usp=sharing"",""สกลนคร!I511"")"),0)</f>
        <v>0</v>
      </c>
      <c r="J616" s="198">
        <f ca="1">IFERROR(__xludf.DUMMYFUNCTION("IMPORTRANGE(""https://docs.google.com/spreadsheets/d/1XL5vhW3sbDhbH9Cz0tuDiY8C3ctxq1tqvaCgkFb8cCA/edit?usp=sharing"",""สกลนคร!J511"")"),0)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IFERROR(__xludf.DUMMYFUNCTION("IMPORTRANGE(""https://docs.google.com/spreadsheets/d/1XL5vhW3sbDhbH9Cz0tuDiY8C3ctxq1tqvaCgkFb8cCA/edit?usp=sharing"",""สกลนคร!I512"")"),0)</f>
        <v>0</v>
      </c>
      <c r="J617" s="188">
        <f ca="1">IFERROR(__xludf.DUMMYFUNCTION("IMPORTRANGE(""https://docs.google.com/spreadsheets/d/1XL5vhW3sbDhbH9Cz0tuDiY8C3ctxq1tqvaCgkFb8cCA/edit?usp=sharing"",""สกลนคร!J512"")"),0)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IFERROR(__xludf.DUMMYFUNCTION("IMPORTRANGE(""https://docs.google.com/spreadsheets/d/1XL5vhW3sbDhbH9Cz0tuDiY8C3ctxq1tqvaCgkFb8cCA/edit?usp=sharing"",""สกลนคร!I513"")"),0)</f>
        <v>0</v>
      </c>
      <c r="J618" s="189">
        <f ca="1">IFERROR(__xludf.DUMMYFUNCTION("IMPORTRANGE(""https://docs.google.com/spreadsheets/d/1XL5vhW3sbDhbH9Cz0tuDiY8C3ctxq1tqvaCgkFb8cCA/edit?usp=sharing"",""สกลนคร!J513"")"),0)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IFERROR(__xludf.DUMMYFUNCTION("IMPORTRANGE(""https://docs.google.com/spreadsheets/d/1XL5vhW3sbDhbH9Cz0tuDiY8C3ctxq1tqvaCgkFb8cCA/edit?usp=sharing"",""สกลนคร!I514"")"),0)</f>
        <v>0</v>
      </c>
      <c r="J619" s="189">
        <f ca="1">IFERROR(__xludf.DUMMYFUNCTION("IMPORTRANGE(""https://docs.google.com/spreadsheets/d/1XL5vhW3sbDhbH9Cz0tuDiY8C3ctxq1tqvaCgkFb8cCA/edit?usp=sharing"",""สกลนคร!J514"")"),0)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IFERROR(__xludf.DUMMYFUNCTION("IMPORTRANGE(""https://docs.google.com/spreadsheets/d/1XL5vhW3sbDhbH9Cz0tuDiY8C3ctxq1tqvaCgkFb8cCA/edit?usp=sharing"",""สกลนคร!I515"")"),0)</f>
        <v>0</v>
      </c>
      <c r="J620" s="203">
        <f ca="1">IFERROR(__xludf.DUMMYFUNCTION("IMPORTRANGE(""https://docs.google.com/spreadsheets/d/1XL5vhW3sbDhbH9Cz0tuDiY8C3ctxq1tqvaCgkFb8cCA/edit?usp=sharing"",""สกลนคร!J515"")"),0)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IFERROR(__xludf.DUMMYFUNCTION("IMPORTRANGE(""https://docs.google.com/spreadsheets/d/1XL5vhW3sbDhbH9Cz0tuDiY8C3ctxq1tqvaCgkFb8cCA/edit?usp=sharing"",""สกลนคร!I516"")"),0)</f>
        <v>0</v>
      </c>
      <c r="J621" s="203">
        <f ca="1">IFERROR(__xludf.DUMMYFUNCTION("IMPORTRANGE(""https://docs.google.com/spreadsheets/d/1XL5vhW3sbDhbH9Cz0tuDiY8C3ctxq1tqvaCgkFb8cCA/edit?usp=sharing"",""สกลนคร!J516"")"),0)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IFERROR(__xludf.DUMMYFUNCTION("IMPORTRANGE(""https://docs.google.com/spreadsheets/d/1XL5vhW3sbDhbH9Cz0tuDiY8C3ctxq1tqvaCgkFb8cCA/edit?usp=sharing"",""สกลนคร!I517"")"),0)</f>
        <v>0</v>
      </c>
      <c r="J622" s="189">
        <f ca="1">IFERROR(__xludf.DUMMYFUNCTION("IMPORTRANGE(""https://docs.google.com/spreadsheets/d/1XL5vhW3sbDhbH9Cz0tuDiY8C3ctxq1tqvaCgkFb8cCA/edit?usp=sharing"",""สกลนคร!J517"")"),0)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IFERROR(__xludf.DUMMYFUNCTION("IMPORTRANGE(""https://docs.google.com/spreadsheets/d/1XL5vhW3sbDhbH9Cz0tuDiY8C3ctxq1tqvaCgkFb8cCA/edit?usp=sharing"",""สกลนคร!I518"")"),0)</f>
        <v>0</v>
      </c>
      <c r="J623" s="189">
        <f ca="1">IFERROR(__xludf.DUMMYFUNCTION("IMPORTRANGE(""https://docs.google.com/spreadsheets/d/1XL5vhW3sbDhbH9Cz0tuDiY8C3ctxq1tqvaCgkFb8cCA/edit?usp=sharing"",""สกลนคร!J518"")"),0)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IFERROR(__xludf.DUMMYFUNCTION("IMPORTRANGE(""https://docs.google.com/spreadsheets/d/1XL5vhW3sbDhbH9Cz0tuDiY8C3ctxq1tqvaCgkFb8cCA/edit?usp=sharing"",""สกลนคร!I519"")"),0)</f>
        <v>0</v>
      </c>
      <c r="J624" s="188">
        <f ca="1">IFERROR(__xludf.DUMMYFUNCTION("IMPORTRANGE(""https://docs.google.com/spreadsheets/d/1XL5vhW3sbDhbH9Cz0tuDiY8C3ctxq1tqvaCgkFb8cCA/edit?usp=sharing"",""สกลนคร!J519"")"),0)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IFERROR(__xludf.DUMMYFUNCTION("IMPORTRANGE(""https://docs.google.com/spreadsheets/d/1XL5vhW3sbDhbH9Cz0tuDiY8C3ctxq1tqvaCgkFb8cCA/edit?usp=sharing"",""สกลนคร!I520"")"),0)</f>
        <v>0</v>
      </c>
      <c r="J625" s="189">
        <f ca="1">IFERROR(__xludf.DUMMYFUNCTION("IMPORTRANGE(""https://docs.google.com/spreadsheets/d/1XL5vhW3sbDhbH9Cz0tuDiY8C3ctxq1tqvaCgkFb8cCA/edit?usp=sharing"",""สกลนคร!J520"")"),0)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IFERROR(__xludf.DUMMYFUNCTION("IMPORTRANGE(""https://docs.google.com/spreadsheets/d/1XL5vhW3sbDhbH9Cz0tuDiY8C3ctxq1tqvaCgkFb8cCA/edit?usp=sharing"",""สกลนคร!I521"")"),0)</f>
        <v>0</v>
      </c>
      <c r="J626" s="189">
        <f ca="1">IFERROR(__xludf.DUMMYFUNCTION("IMPORTRANGE(""https://docs.google.com/spreadsheets/d/1XL5vhW3sbDhbH9Cz0tuDiY8C3ctxq1tqvaCgkFb8cCA/edit?usp=sharing"",""สกลนคร!J521"")"),0)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IFERROR(__xludf.DUMMYFUNCTION("IMPORTRANGE(""https://docs.google.com/spreadsheets/d/1XL5vhW3sbDhbH9Cz0tuDiY8C3ctxq1tqvaCgkFb8cCA/edit?usp=sharing"",""สกลนคร!I523"")"),9017111.67)</f>
        <v>9017111.6699999999</v>
      </c>
      <c r="J628" s="341">
        <f ca="1">IFERROR(__xludf.DUMMYFUNCTION("IMPORTRANGE(""https://docs.google.com/spreadsheets/d/1XL5vhW3sbDhbH9Cz0tuDiY8C3ctxq1tqvaCgkFb8cCA/edit?usp=sharing"",""สกลนคร!J523"")"),2602805.3)</f>
        <v>2602805.2999999998</v>
      </c>
      <c r="K628" s="342">
        <f t="shared" ref="K628:K635" ca="1" si="129">IF(I628&gt;0,J628*100/I628,0)</f>
        <v>28.865177622891739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IFERROR(__xludf.DUMMYFUNCTION("IMPORTRANGE(""https://docs.google.com/spreadsheets/d/1XL5vhW3sbDhbH9Cz0tuDiY8C3ctxq1tqvaCgkFb8cCA/edit?usp=sharing"",""สกลนคร!I524"")"),757)</f>
        <v>757</v>
      </c>
      <c r="J629" s="341">
        <f ca="1">IFERROR(__xludf.DUMMYFUNCTION("IMPORTRANGE(""https://docs.google.com/spreadsheets/d/1XL5vhW3sbDhbH9Cz0tuDiY8C3ctxq1tqvaCgkFb8cCA/edit?usp=sharing"",""สกลนคร!J524"")"),199)</f>
        <v>199</v>
      </c>
      <c r="K629" s="342">
        <f t="shared" ca="1" si="129"/>
        <v>26.287978863936591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IFERROR(__xludf.DUMMYFUNCTION("IMPORTRANGE(""https://docs.google.com/spreadsheets/d/1XL5vhW3sbDhbH9Cz0tuDiY8C3ctxq1tqvaCgkFb8cCA/edit?usp=sharing"",""สกลนคร!I525"")"),3296006.08)</f>
        <v>3296006.08</v>
      </c>
      <c r="J630" s="341">
        <f ca="1">IFERROR(__xludf.DUMMYFUNCTION("IMPORTRANGE(""https://docs.google.com/spreadsheets/d/1XL5vhW3sbDhbH9Cz0tuDiY8C3ctxq1tqvaCgkFb8cCA/edit?usp=sharing"",""สกลนคร!J525"")"),743053.02)</f>
        <v>743053.02</v>
      </c>
      <c r="K630" s="342">
        <f t="shared" ca="1" si="129"/>
        <v>22.544042758561901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IFERROR(__xludf.DUMMYFUNCTION("IMPORTRANGE(""https://docs.google.com/spreadsheets/d/1XL5vhW3sbDhbH9Cz0tuDiY8C3ctxq1tqvaCgkFb8cCA/edit?usp=sharing"",""สกลนคร!I526"")"),160)</f>
        <v>160</v>
      </c>
      <c r="J631" s="341">
        <f ca="1">IFERROR(__xludf.DUMMYFUNCTION("IMPORTRANGE(""https://docs.google.com/spreadsheets/d/1XL5vhW3sbDhbH9Cz0tuDiY8C3ctxq1tqvaCgkFb8cCA/edit?usp=sharing"",""สกลนคร!J526"")"),68)</f>
        <v>68</v>
      </c>
      <c r="K631" s="342">
        <f t="shared" ca="1" si="129"/>
        <v>42.5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IFERROR(__xludf.DUMMYFUNCTION("IMPORTRANGE(""https://docs.google.com/spreadsheets/d/1XL5vhW3sbDhbH9Cz0tuDiY8C3ctxq1tqvaCgkFb8cCA/edit?usp=sharing"",""สกลนคร!I527"")"),0)</f>
        <v>0</v>
      </c>
      <c r="J632" s="341">
        <f ca="1">IFERROR(__xludf.DUMMYFUNCTION("IMPORTRANGE(""https://docs.google.com/spreadsheets/d/1XL5vhW3sbDhbH9Cz0tuDiY8C3ctxq1tqvaCgkFb8cCA/edit?usp=sharing"",""สกลนคร!J527"")"),0)</f>
        <v>0</v>
      </c>
      <c r="K632" s="342">
        <f t="shared" ca="1" si="129"/>
        <v>0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IFERROR(__xludf.DUMMYFUNCTION("IMPORTRANGE(""https://docs.google.com/spreadsheets/d/1XL5vhW3sbDhbH9Cz0tuDiY8C3ctxq1tqvaCgkFb8cCA/edit?usp=sharing"",""สกลนคร!I528"")"),0)</f>
        <v>0</v>
      </c>
      <c r="J633" s="341">
        <f ca="1">IFERROR(__xludf.DUMMYFUNCTION("IMPORTRANGE(""https://docs.google.com/spreadsheets/d/1XL5vhW3sbDhbH9Cz0tuDiY8C3ctxq1tqvaCgkFb8cCA/edit?usp=sharing"",""สกลนคร!J528"")"),0)</f>
        <v>0</v>
      </c>
      <c r="K633" s="342">
        <f t="shared" ca="1" si="129"/>
        <v>0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IFERROR(__xludf.DUMMYFUNCTION("IMPORTRANGE(""https://docs.google.com/spreadsheets/d/1XL5vhW3sbDhbH9Cz0tuDiY8C3ctxq1tqvaCgkFb8cCA/edit?usp=sharing"",""สกลนคร!I529"")"),10000000)</f>
        <v>10000000</v>
      </c>
      <c r="J634" s="341">
        <f ca="1">IFERROR(__xludf.DUMMYFUNCTION("IMPORTRANGE(""https://docs.google.com/spreadsheets/d/1XL5vhW3sbDhbH9Cz0tuDiY8C3ctxq1tqvaCgkFb8cCA/edit?usp=sharing"",""สกลนคร!J529"")"),0)</f>
        <v>0</v>
      </c>
      <c r="K634" s="342">
        <f t="shared" ca="1" si="129"/>
        <v>0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IFERROR(__xludf.DUMMYFUNCTION("IMPORTRANGE(""https://docs.google.com/spreadsheets/d/1XL5vhW3sbDhbH9Cz0tuDiY8C3ctxq1tqvaCgkFb8cCA/edit?usp=sharing"",""สกลนคร!I530"")"),200)</f>
        <v>200</v>
      </c>
      <c r="J635" s="504">
        <f ca="1">IFERROR(__xludf.DUMMYFUNCTION("IMPORTRANGE(""https://docs.google.com/spreadsheets/d/1XL5vhW3sbDhbH9Cz0tuDiY8C3ctxq1tqvaCgkFb8cCA/edit?usp=sharing"",""สกลนคร!J530"")"),0)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49" t="s">
        <v>237</v>
      </c>
      <c r="F636" s="549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12" sqref="J12"/>
      <selection pane="bottomLeft" activeCell="G556" sqref="G556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56" t="s">
        <v>0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</row>
    <row r="2" spans="1:16" ht="18" customHeight="1" x14ac:dyDescent="0.35">
      <c r="A2" s="556" t="s">
        <v>266</v>
      </c>
      <c r="B2" s="556"/>
      <c r="C2" s="556"/>
      <c r="D2" s="556"/>
      <c r="E2" s="556"/>
      <c r="F2" s="556"/>
      <c r="G2" s="556"/>
      <c r="H2" s="556"/>
      <c r="I2" s="556"/>
      <c r="J2" s="556"/>
      <c r="K2" s="556"/>
      <c r="L2" s="556"/>
      <c r="M2" s="556"/>
      <c r="N2" s="556"/>
      <c r="O2" s="556"/>
      <c r="P2" s="556"/>
    </row>
    <row r="3" spans="1:16" ht="18" customHeight="1" x14ac:dyDescent="0.35">
      <c r="A3" s="556" t="s">
        <v>278</v>
      </c>
      <c r="B3" s="556"/>
      <c r="C3" s="556"/>
      <c r="D3" s="556"/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6"/>
      <c r="P3" s="55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79" t="s">
        <v>2</v>
      </c>
      <c r="B5" s="565"/>
      <c r="C5" s="565"/>
      <c r="D5" s="565"/>
      <c r="E5" s="565"/>
      <c r="F5" s="565"/>
      <c r="G5" s="566"/>
      <c r="H5" s="578" t="s">
        <v>3</v>
      </c>
      <c r="I5" s="559" t="s">
        <v>4</v>
      </c>
      <c r="J5" s="560"/>
      <c r="K5" s="561"/>
      <c r="L5" s="562" t="s">
        <v>5</v>
      </c>
      <c r="M5" s="561"/>
      <c r="N5" s="563" t="s">
        <v>6</v>
      </c>
      <c r="O5" s="560"/>
      <c r="P5" s="561"/>
    </row>
    <row r="6" spans="1:16" ht="21.75" customHeight="1" x14ac:dyDescent="0.35">
      <c r="A6" s="567"/>
      <c r="B6" s="568"/>
      <c r="C6" s="568"/>
      <c r="D6" s="568"/>
      <c r="E6" s="568"/>
      <c r="F6" s="568"/>
      <c r="G6" s="569"/>
      <c r="H6" s="55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80" t="s">
        <v>15</v>
      </c>
      <c r="B7" s="560"/>
      <c r="C7" s="560"/>
      <c r="D7" s="560"/>
      <c r="E7" s="560"/>
      <c r="F7" s="560"/>
      <c r="G7" s="561"/>
      <c r="H7" s="512"/>
      <c r="I7" s="513"/>
      <c r="J7" s="513"/>
      <c r="K7" s="514"/>
      <c r="L7" s="515"/>
      <c r="M7" s="514"/>
      <c r="N7" s="515"/>
      <c r="O7" s="516"/>
      <c r="P7" s="516"/>
    </row>
    <row r="8" spans="1:16" ht="21.75" customHeight="1" x14ac:dyDescent="0.45">
      <c r="A8" s="17"/>
      <c r="B8" s="18"/>
      <c r="C8" s="19" t="s">
        <v>16</v>
      </c>
      <c r="D8" s="571" t="s">
        <v>17</v>
      </c>
      <c r="E8" s="555"/>
      <c r="F8" s="555"/>
      <c r="G8" s="555"/>
      <c r="H8" s="20" t="s">
        <v>12</v>
      </c>
      <c r="I8" s="21"/>
      <c r="J8" s="21"/>
      <c r="K8" s="22"/>
      <c r="L8" s="23">
        <f t="shared" ref="L8:N8" ca="1" si="0">L9+L10</f>
        <v>7177257</v>
      </c>
      <c r="M8" s="23">
        <f t="shared" ca="1" si="0"/>
        <v>3464711</v>
      </c>
      <c r="N8" s="23">
        <f t="shared" ca="1" si="0"/>
        <v>3846139.42</v>
      </c>
      <c r="O8" s="22">
        <f t="shared" ref="O8:O16" ca="1" si="1">IF(L8&gt;0,N8*100/L8,0)</f>
        <v>53.587873751768953</v>
      </c>
      <c r="P8" s="22">
        <f t="shared" ref="P8:P16" ca="1" si="2">IF(M8&gt;0,N8*100/M8,0)</f>
        <v>111.00895341631669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7177257</v>
      </c>
      <c r="M10" s="30">
        <f t="shared" ca="1" si="4"/>
        <v>3464711</v>
      </c>
      <c r="N10" s="30">
        <f t="shared" ca="1" si="4"/>
        <v>3846139.42</v>
      </c>
      <c r="O10" s="29">
        <f t="shared" ca="1" si="1"/>
        <v>53.587873751768953</v>
      </c>
      <c r="P10" s="29">
        <f t="shared" ca="1" si="2"/>
        <v>111.00895341631669</v>
      </c>
    </row>
    <row r="11" spans="1:16" ht="21.75" customHeight="1" x14ac:dyDescent="0.45">
      <c r="A11" s="31"/>
      <c r="B11" s="32"/>
      <c r="C11" s="33" t="s">
        <v>16</v>
      </c>
      <c r="D11" s="572" t="s">
        <v>20</v>
      </c>
      <c r="E11" s="553"/>
      <c r="F11" s="55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6144311</v>
      </c>
      <c r="M12" s="38">
        <f t="shared" ca="1" si="6"/>
        <v>2431765</v>
      </c>
      <c r="N12" s="38">
        <f t="shared" ca="1" si="6"/>
        <v>2813193.42</v>
      </c>
      <c r="O12" s="38">
        <f t="shared" ca="1" si="1"/>
        <v>45.785335735772492</v>
      </c>
      <c r="P12" s="38">
        <f t="shared" ca="1" si="2"/>
        <v>115.68525001387881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1962000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4182311</v>
      </c>
      <c r="M14" s="38">
        <f t="shared" si="8"/>
        <v>0</v>
      </c>
      <c r="N14" s="38">
        <f t="shared" ca="1" si="8"/>
        <v>984176.87000000011</v>
      </c>
      <c r="O14" s="38">
        <f t="shared" ca="1" si="1"/>
        <v>23.531891100398802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2" t="s">
        <v>23</v>
      </c>
      <c r="E15" s="55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1032946</v>
      </c>
      <c r="M16" s="38">
        <f t="shared" ca="1" si="10"/>
        <v>1032946</v>
      </c>
      <c r="N16" s="38">
        <f t="shared" ca="1" si="10"/>
        <v>1032946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80" t="s">
        <v>24</v>
      </c>
      <c r="B17" s="560"/>
      <c r="C17" s="560"/>
      <c r="D17" s="560"/>
      <c r="E17" s="560"/>
      <c r="F17" s="560"/>
      <c r="G17" s="561"/>
      <c r="H17" s="512"/>
      <c r="I17" s="513"/>
      <c r="J17" s="513"/>
      <c r="K17" s="514"/>
      <c r="L17" s="515"/>
      <c r="M17" s="514"/>
      <c r="N17" s="515"/>
      <c r="O17" s="516"/>
      <c r="P17" s="516"/>
    </row>
    <row r="18" spans="1:16" ht="21.75" customHeight="1" x14ac:dyDescent="0.45">
      <c r="A18" s="17"/>
      <c r="B18" s="18"/>
      <c r="C18" s="19" t="s">
        <v>16</v>
      </c>
      <c r="D18" s="571" t="s">
        <v>17</v>
      </c>
      <c r="E18" s="555"/>
      <c r="F18" s="555"/>
      <c r="G18" s="555"/>
      <c r="H18" s="20" t="s">
        <v>12</v>
      </c>
      <c r="I18" s="21"/>
      <c r="J18" s="21"/>
      <c r="K18" s="22"/>
      <c r="L18" s="23">
        <f t="shared" ref="L18:N18" ca="1" si="11">L19+L20</f>
        <v>4330966</v>
      </c>
      <c r="M18" s="23">
        <f t="shared" ca="1" si="11"/>
        <v>3464711</v>
      </c>
      <c r="N18" s="23">
        <f t="shared" ca="1" si="11"/>
        <v>2861962.55</v>
      </c>
      <c r="O18" s="22">
        <f t="shared" ref="O18:O20" ca="1" si="12">IF(L18&gt;0,N18*100/L18,0)</f>
        <v>66.081390387271568</v>
      </c>
      <c r="P18" s="22">
        <f t="shared" ref="P18:P26" ca="1" si="13">IF(M18&gt;0,N18*100/M18,0)</f>
        <v>82.603211350095293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4330966</v>
      </c>
      <c r="M20" s="30">
        <f t="shared" ca="1" si="15"/>
        <v>3464711</v>
      </c>
      <c r="N20" s="30">
        <f t="shared" ca="1" si="15"/>
        <v>2861962.55</v>
      </c>
      <c r="O20" s="29">
        <f t="shared" ca="1" si="12"/>
        <v>66.081390387271568</v>
      </c>
      <c r="P20" s="29">
        <f t="shared" ca="1" si="13"/>
        <v>82.603211350095293</v>
      </c>
    </row>
    <row r="21" spans="1:16" ht="21.75" customHeight="1" x14ac:dyDescent="0.45">
      <c r="A21" s="31"/>
      <c r="B21" s="32"/>
      <c r="C21" s="33" t="s">
        <v>16</v>
      </c>
      <c r="D21" s="572" t="s">
        <v>20</v>
      </c>
      <c r="E21" s="553"/>
      <c r="F21" s="55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3298020</v>
      </c>
      <c r="M22" s="41">
        <f t="shared" ca="1" si="18"/>
        <v>2431765</v>
      </c>
      <c r="N22" s="38">
        <f t="shared" ca="1" si="18"/>
        <v>1829016.55</v>
      </c>
      <c r="O22" s="38">
        <f t="shared" ca="1" si="17"/>
        <v>55.458018750644328</v>
      </c>
      <c r="P22" s="38">
        <f t="shared" ca="1" si="13"/>
        <v>75.213540370882882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1962000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1336020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2" t="s">
        <v>23</v>
      </c>
      <c r="E25" s="55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1032946</v>
      </c>
      <c r="M26" s="49">
        <f t="shared" ca="1" si="22"/>
        <v>1032946</v>
      </c>
      <c r="N26" s="49">
        <f t="shared" ca="1" si="22"/>
        <v>1032946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80" t="s">
        <v>25</v>
      </c>
      <c r="B27" s="560"/>
      <c r="C27" s="560"/>
      <c r="D27" s="560"/>
      <c r="E27" s="560"/>
      <c r="F27" s="560"/>
      <c r="G27" s="561"/>
      <c r="H27" s="512"/>
      <c r="I27" s="513"/>
      <c r="J27" s="513"/>
      <c r="K27" s="514"/>
      <c r="L27" s="515"/>
      <c r="M27" s="514"/>
      <c r="N27" s="515"/>
      <c r="O27" s="516"/>
      <c r="P27" s="516"/>
    </row>
    <row r="28" spans="1:16" ht="21.75" customHeight="1" x14ac:dyDescent="0.45">
      <c r="A28" s="17"/>
      <c r="B28" s="18"/>
      <c r="C28" s="19" t="s">
        <v>16</v>
      </c>
      <c r="D28" s="571" t="s">
        <v>17</v>
      </c>
      <c r="E28" s="555"/>
      <c r="F28" s="555"/>
      <c r="G28" s="555"/>
      <c r="H28" s="20" t="s">
        <v>12</v>
      </c>
      <c r="I28" s="21"/>
      <c r="J28" s="21"/>
      <c r="K28" s="22"/>
      <c r="L28" s="23">
        <f t="shared" ref="L28:N28" ca="1" si="23">L29+L30</f>
        <v>2846291</v>
      </c>
      <c r="M28" s="23">
        <f t="shared" si="23"/>
        <v>0</v>
      </c>
      <c r="N28" s="23">
        <f t="shared" ca="1" si="23"/>
        <v>984176.87000000011</v>
      </c>
      <c r="O28" s="22">
        <f t="shared" ref="O28:O30" ca="1" si="24">IF(L28&gt;0,N28*100/L28,0)</f>
        <v>34.577521061620196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2846291</v>
      </c>
      <c r="M30" s="30">
        <f t="shared" si="27"/>
        <v>0</v>
      </c>
      <c r="N30" s="30">
        <f t="shared" ca="1" si="27"/>
        <v>984176.87000000011</v>
      </c>
      <c r="O30" s="29">
        <f t="shared" ca="1" si="24"/>
        <v>34.577521061620196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2" t="s">
        <v>20</v>
      </c>
      <c r="E31" s="553"/>
      <c r="F31" s="55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2846291</v>
      </c>
      <c r="M32" s="38">
        <f t="shared" si="30"/>
        <v>0</v>
      </c>
      <c r="N32" s="38">
        <f t="shared" ca="1" si="30"/>
        <v>984176.87000000011</v>
      </c>
      <c r="O32" s="38">
        <f t="shared" ca="1" si="29"/>
        <v>34.577521061620196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2846291</v>
      </c>
      <c r="M34" s="38">
        <f t="shared" si="32"/>
        <v>0</v>
      </c>
      <c r="N34" s="38">
        <f t="shared" ca="1" si="32"/>
        <v>984176.87000000011</v>
      </c>
      <c r="O34" s="38">
        <f t="shared" ca="1" si="29"/>
        <v>34.577521061620196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2" t="s">
        <v>23</v>
      </c>
      <c r="E35" s="55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4330966</v>
      </c>
      <c r="M37" s="54">
        <f t="shared" ca="1" si="33"/>
        <v>3464711</v>
      </c>
      <c r="N37" s="54">
        <f t="shared" ca="1" si="33"/>
        <v>2861962.55</v>
      </c>
      <c r="O37" s="55">
        <f t="shared" ca="1" si="29"/>
        <v>66.081390387271568</v>
      </c>
      <c r="P37" s="55">
        <f t="shared" ca="1" si="25"/>
        <v>82.603211350095293</v>
      </c>
    </row>
    <row r="38" spans="1:16" ht="21.75" customHeight="1" x14ac:dyDescent="0.45">
      <c r="A38" s="581" t="s">
        <v>27</v>
      </c>
      <c r="B38" s="560"/>
      <c r="C38" s="560"/>
      <c r="D38" s="560"/>
      <c r="E38" s="560"/>
      <c r="F38" s="560"/>
      <c r="G38" s="561"/>
      <c r="H38" s="517"/>
      <c r="I38" s="518"/>
      <c r="J38" s="518"/>
      <c r="K38" s="519"/>
      <c r="L38" s="520"/>
      <c r="M38" s="520"/>
      <c r="N38" s="520"/>
      <c r="O38" s="520"/>
      <c r="P38" s="520"/>
    </row>
    <row r="39" spans="1:16" ht="21.75" customHeight="1" x14ac:dyDescent="0.45">
      <c r="A39" s="521"/>
      <c r="B39" s="582" t="s">
        <v>28</v>
      </c>
      <c r="C39" s="555"/>
      <c r="D39" s="555"/>
      <c r="E39" s="555"/>
      <c r="F39" s="555"/>
      <c r="G39" s="555"/>
      <c r="H39" s="522"/>
      <c r="I39" s="523"/>
      <c r="J39" s="523"/>
      <c r="K39" s="524"/>
      <c r="L39" s="525"/>
      <c r="M39" s="525"/>
      <c r="N39" s="525"/>
      <c r="O39" s="524"/>
      <c r="P39" s="524"/>
    </row>
    <row r="40" spans="1:16" ht="21.75" customHeight="1" x14ac:dyDescent="0.45">
      <c r="A40" s="526"/>
      <c r="B40" s="527" t="s">
        <v>29</v>
      </c>
      <c r="C40" s="528"/>
      <c r="D40" s="528"/>
      <c r="E40" s="528"/>
      <c r="F40" s="528"/>
      <c r="G40" s="528"/>
      <c r="H40" s="529"/>
      <c r="I40" s="530"/>
      <c r="J40" s="530"/>
      <c r="K40" s="531"/>
      <c r="L40" s="532"/>
      <c r="M40" s="532"/>
      <c r="N40" s="532"/>
      <c r="O40" s="531"/>
      <c r="P40" s="531"/>
    </row>
    <row r="41" spans="1:16" ht="21.75" customHeight="1" x14ac:dyDescent="0.45">
      <c r="A41" s="72"/>
      <c r="B41" s="73"/>
      <c r="C41" s="74" t="s">
        <v>16</v>
      </c>
      <c r="D41" s="575" t="s">
        <v>17</v>
      </c>
      <c r="E41" s="553"/>
      <c r="F41" s="553"/>
      <c r="G41" s="553"/>
      <c r="H41" s="75" t="s">
        <v>12</v>
      </c>
      <c r="I41" s="76"/>
      <c r="J41" s="76"/>
      <c r="K41" s="77"/>
      <c r="L41" s="78">
        <f t="shared" ref="L41:N41" ca="1" si="34">L42+L43</f>
        <v>1769756</v>
      </c>
      <c r="M41" s="78">
        <f t="shared" ca="1" si="34"/>
        <v>1576256</v>
      </c>
      <c r="N41" s="78">
        <f t="shared" ca="1" si="34"/>
        <v>1428914.5</v>
      </c>
      <c r="O41" s="77">
        <f t="shared" ref="O41:O43" ca="1" si="35">IF(L41&gt;0,N41*100/L41,0)</f>
        <v>80.740763133448908</v>
      </c>
      <c r="P41" s="77">
        <f t="shared" ref="P41:P43" ca="1" si="36">IF(M41&gt;0,N41*100/M41,0)</f>
        <v>90.652438436396125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1769756</v>
      </c>
      <c r="M43" s="78">
        <f t="shared" ca="1" si="38"/>
        <v>1576256</v>
      </c>
      <c r="N43" s="78">
        <f t="shared" ca="1" si="38"/>
        <v>1428914.5</v>
      </c>
      <c r="O43" s="77">
        <f t="shared" ca="1" si="35"/>
        <v>80.740763133448908</v>
      </c>
      <c r="P43" s="77">
        <f t="shared" ca="1" si="36"/>
        <v>90.652438436396125</v>
      </c>
    </row>
    <row r="44" spans="1:16" ht="21.75" customHeight="1" x14ac:dyDescent="0.45">
      <c r="A44" s="79"/>
      <c r="B44" s="80"/>
      <c r="C44" s="81" t="s">
        <v>16</v>
      </c>
      <c r="D44" s="552" t="s">
        <v>20</v>
      </c>
      <c r="E44" s="553"/>
      <c r="F44" s="55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774100</v>
      </c>
      <c r="M45" s="533">
        <f ca="1">IFERROR(__xludf.DUMMYFUNCTION("IMPORTRANGE(""https://docs.google.com/spreadsheets/d/1Yj_ptqi66GCucihVvJfMjLAmec39IyEx_6qawtMGysU/edit?usp=sharing"",""สบก!Q52"")"),580600)</f>
        <v>580600</v>
      </c>
      <c r="N45" s="533">
        <f ca="1">IFERROR(__xludf.DUMMYFUNCTION("IMPORTRANGE(""https://docs.google.com/spreadsheets/d/1Yj_ptqi66GCucihVvJfMjLAmec39IyEx_6qawtMGysU/edit?usp=sharing"",""สบก!R52"")"),433258.5)</f>
        <v>433258.5</v>
      </c>
      <c r="O45" s="534">
        <f ca="1">IF(L45&gt;0,N45*100/L45,0)</f>
        <v>55.969319209404468</v>
      </c>
      <c r="P45" s="534">
        <f ca="1">IF(M45&gt;0,N45*100/M45,0)</f>
        <v>74.622545642438851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533">
        <f ca="1">IFERROR(__xludf.DUMMYFUNCTION("IMPORTRANGE(""https://docs.google.com/spreadsheets/d/1Yj_ptqi66GCucihVvJfMjLAmec39IyEx_6qawtMGysU/edit?usp=sharing"",""สบก!M52"")"),774100)</f>
        <v>774100</v>
      </c>
      <c r="M46" s="535"/>
      <c r="N46" s="38"/>
      <c r="O46" s="534"/>
      <c r="P46" s="534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533">
        <f ca="1">IFERROR(__xludf.DUMMYFUNCTION("IMPORTRANGE(""https://docs.google.com/spreadsheets/d/1Yj_ptqi66GCucihVvJfMjLAmec39IyEx_6qawtMGysU/edit?usp=sharing"",""สบก!N52"")"),0)</f>
        <v>0</v>
      </c>
      <c r="M47" s="535"/>
      <c r="N47" s="38"/>
      <c r="O47" s="534"/>
      <c r="P47" s="534"/>
    </row>
    <row r="48" spans="1:16" ht="21.75" customHeight="1" x14ac:dyDescent="0.45">
      <c r="A48" s="79"/>
      <c r="B48" s="80"/>
      <c r="C48" s="81" t="s">
        <v>16</v>
      </c>
      <c r="D48" s="552" t="s">
        <v>23</v>
      </c>
      <c r="E48" s="55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535"/>
      <c r="N48" s="41"/>
      <c r="O48" s="535"/>
      <c r="P48" s="535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33">
        <f ca="1">IFERROR(__xludf.DUMMYFUNCTION("IMPORTRANGE(""https://docs.google.com/spreadsheets/d/1Yj_ptqi66GCucihVvJfMjLAmec39IyEx_6qawtMGysU/edit?usp=sharing"",""สบก!O52"")"),995656)</f>
        <v>995656</v>
      </c>
      <c r="M49" s="536">
        <f ca="1">L49</f>
        <v>995656</v>
      </c>
      <c r="N49" s="533">
        <f ca="1">IFERROR(__xludf.DUMMYFUNCTION("IMPORTRANGE(""https://docs.google.com/spreadsheets/d/1Yj_ptqi66GCucihVvJfMjLAmec39IyEx_6qawtMGysU/edit?usp=sharing"",""สบก!S52"")"),995656)</f>
        <v>995656</v>
      </c>
      <c r="O49" s="536">
        <f ca="1">IF(L49&gt;0,N49*100/L49,0)</f>
        <v>100</v>
      </c>
      <c r="P49" s="536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76" t="s">
        <v>32</v>
      </c>
      <c r="C52" s="553"/>
      <c r="D52" s="553"/>
      <c r="E52" s="553"/>
      <c r="F52" s="553"/>
      <c r="G52" s="55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77" t="s">
        <v>17</v>
      </c>
      <c r="E53" s="553"/>
      <c r="F53" s="553"/>
      <c r="G53" s="553"/>
      <c r="H53" s="118" t="s">
        <v>12</v>
      </c>
      <c r="I53" s="119"/>
      <c r="J53" s="119"/>
      <c r="K53" s="120"/>
      <c r="L53" s="121">
        <f t="shared" ref="L53:N53" ca="1" si="39">L54+L55</f>
        <v>428400</v>
      </c>
      <c r="M53" s="121">
        <f t="shared" ca="1" si="39"/>
        <v>341010</v>
      </c>
      <c r="N53" s="121">
        <f t="shared" ca="1" si="39"/>
        <v>217705</v>
      </c>
      <c r="O53" s="120">
        <f t="shared" ref="O53:O55" ca="1" si="40">IF(L53&gt;0,N53*100/L53,0)</f>
        <v>50.818160597572366</v>
      </c>
      <c r="P53" s="120">
        <f t="shared" ref="P53:P55" ca="1" si="41">IF(M53&gt;0,N53*100/M53,0)</f>
        <v>63.841236327380429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428400</v>
      </c>
      <c r="M55" s="121">
        <f t="shared" ca="1" si="43"/>
        <v>341010</v>
      </c>
      <c r="N55" s="121">
        <f t="shared" ca="1" si="43"/>
        <v>217705</v>
      </c>
      <c r="O55" s="120">
        <f t="shared" ca="1" si="40"/>
        <v>50.818160597572366</v>
      </c>
      <c r="P55" s="120">
        <f t="shared" ca="1" si="41"/>
        <v>63.841236327380429</v>
      </c>
    </row>
    <row r="56" spans="1:16" ht="21.75" customHeight="1" x14ac:dyDescent="0.45">
      <c r="A56" s="79"/>
      <c r="B56" s="80"/>
      <c r="C56" s="81" t="s">
        <v>16</v>
      </c>
      <c r="D56" s="552" t="s">
        <v>20</v>
      </c>
      <c r="E56" s="553"/>
      <c r="F56" s="55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428400</v>
      </c>
      <c r="M57" s="533">
        <f ca="1">IFERROR(__xludf.DUMMYFUNCTION("IMPORTRANGE(""https://docs.google.com/spreadsheets/d/1Yj_ptqi66GCucihVvJfMjLAmec39IyEx_6qawtMGysU/edit?usp=sharing"",""สบก!Z52"")"),341010)</f>
        <v>341010</v>
      </c>
      <c r="N57" s="533">
        <f ca="1">IFERROR(__xludf.DUMMYFUNCTION("IMPORTRANGE(""https://docs.google.com/spreadsheets/d/1Yj_ptqi66GCucihVvJfMjLAmec39IyEx_6qawtMGysU/edit?usp=sharing"",""สบก!AA52"")"),217705)</f>
        <v>217705</v>
      </c>
      <c r="O57" s="534">
        <f ca="1">IF(L57&gt;0,N57*100/L57,0)</f>
        <v>50.818160597572366</v>
      </c>
      <c r="P57" s="534">
        <f ca="1">IF(M57&gt;0,N57*100/M57,0)</f>
        <v>63.841236327380429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533">
        <f ca="1">IFERROR(__xludf.DUMMYFUNCTION("IMPORTRANGE(""https://docs.google.com/spreadsheets/d/1Yj_ptqi66GCucihVvJfMjLAmec39IyEx_6qawtMGysU/edit?usp=sharing"",""สบก!V52"")"),428400)</f>
        <v>428400</v>
      </c>
      <c r="M58" s="535"/>
      <c r="N58" s="38"/>
      <c r="O58" s="534"/>
      <c r="P58" s="534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533">
        <f ca="1">IFERROR(__xludf.DUMMYFUNCTION("IMPORTRANGE(""https://docs.google.com/spreadsheets/d/1Yj_ptqi66GCucihVvJfMjLAmec39IyEx_6qawtMGysU/edit?usp=sharing"",""สบก!W52"")"),0)</f>
        <v>0</v>
      </c>
      <c r="M59" s="535"/>
      <c r="N59" s="38"/>
      <c r="O59" s="534"/>
      <c r="P59" s="534"/>
    </row>
    <row r="60" spans="1:16" ht="21.75" customHeight="1" x14ac:dyDescent="0.45">
      <c r="A60" s="79"/>
      <c r="B60" s="80"/>
      <c r="C60" s="81" t="s">
        <v>16</v>
      </c>
      <c r="D60" s="552" t="s">
        <v>23</v>
      </c>
      <c r="E60" s="55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535"/>
      <c r="N60" s="41"/>
      <c r="O60" s="535"/>
      <c r="P60" s="535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33">
        <f ca="1">IFERROR(__xludf.DUMMYFUNCTION("IMPORTRANGE(""https://docs.google.com/spreadsheets/d/1Yj_ptqi66GCucihVvJfMjLAmec39IyEx_6qawtMGysU/edit?usp=sharing"",""สบก!X52"")"),0)</f>
        <v>0</v>
      </c>
      <c r="M61" s="536"/>
      <c r="N61" s="533">
        <f ca="1">IFERROR(__xludf.DUMMYFUNCTION("IMPORTRANGE(""https://docs.google.com/spreadsheets/d/1Yj_ptqi66GCucihVvJfMjLAmec39IyEx_6qawtMGysU/edit?usp=sharing"",""สบก!AB52"")"),0)</f>
        <v>0</v>
      </c>
      <c r="O61" s="536">
        <f ca="1">IF(L61&gt;0,N61*100/L61,0)</f>
        <v>0</v>
      </c>
      <c r="P61" s="536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IFERROR(__xludf.DUMMYFUNCTION("IMPORTRANGE(""https://docs.google.com/spreadsheets/d/1XL5vhW3sbDhbH9Cz0tuDiY8C3ctxq1tqvaCgkFb8cCA/edit?usp=sharing"",""สุรินทร์!I9"")"),0)</f>
        <v>0</v>
      </c>
      <c r="J64" s="142">
        <f ca="1">IFERROR(__xludf.DUMMYFUNCTION("IMPORTRANGE(""https://docs.google.com/spreadsheets/d/1XL5vhW3sbDhbH9Cz0tuDiY8C3ctxq1tqvaCgkFb8cCA/edit?usp=sharing"",""สุรินทร์!J9"")"),0)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IFERROR(__xludf.DUMMYFUNCTION("IMPORTRANGE(""https://docs.google.com/spreadsheets/d/1XL5vhW3sbDhbH9Cz0tuDiY8C3ctxq1tqvaCgkFb8cCA/edit?usp=sharing"",""สุรินทร์!I10"")"),0)</f>
        <v>0</v>
      </c>
      <c r="J65" s="142">
        <f ca="1">IFERROR(__xludf.DUMMYFUNCTION("IMPORTRANGE(""https://docs.google.com/spreadsheets/d/1XL5vhW3sbDhbH9Cz0tuDiY8C3ctxq1tqvaCgkFb8cCA/edit?usp=sharing"",""สุรินทร์!J10"")"),0)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54" t="s">
        <v>17</v>
      </c>
      <c r="E66" s="555"/>
      <c r="F66" s="555"/>
      <c r="G66" s="55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5">
      <c r="A69" s="158"/>
      <c r="B69" s="159"/>
      <c r="C69" s="159" t="s">
        <v>16</v>
      </c>
      <c r="D69" s="278" t="s">
        <v>77</v>
      </c>
      <c r="E69" s="167"/>
      <c r="F69" s="167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537">
        <f ca="1">IFERROR(__xludf.DUMMYFUNCTION("IMPORTRANGE(""https://docs.google.com/spreadsheets/d/1Yj_ptqi66GCucihVvJfMjLAmec39IyEx_6qawtMGysU/edit?usp=sharing"",""สบก!AI52"")"),0)</f>
        <v>0</v>
      </c>
      <c r="N70" s="538">
        <f ca="1">IFERROR(__xludf.DUMMYFUNCTION("IMPORTRANGE(""https://docs.google.com/spreadsheets/d/1Yj_ptqi66GCucihVvJfMjLAmec39IyEx_6qawtMGysU/edit?usp=sharing"",""สบก!AJ52"")"),0)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537">
        <f ca="1">IFERROR(__xludf.DUMMYFUNCTION("IMPORTRANGE(""https://docs.google.com/spreadsheets/d/1Yj_ptqi66GCucihVvJfMjLAmec39IyEx_6qawtMGysU/edit?usp=sharing"",""สบก!AE52"")"),0)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537">
        <f ca="1">IFERROR(__xludf.DUMMYFUNCTION("IMPORTRANGE(""https://docs.google.com/spreadsheets/d/1Yj_ptqi66GCucihVvJfMjLAmec39IyEx_6qawtMGysU/edit?usp=sharing"",""สบก!AF52"")"),0)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52" t="s">
        <v>23</v>
      </c>
      <c r="E73" s="553"/>
      <c r="F73" s="89"/>
      <c r="G73" s="82" t="s">
        <v>18</v>
      </c>
      <c r="H73" s="172" t="s">
        <v>12</v>
      </c>
      <c r="I73" s="84"/>
      <c r="J73" s="84"/>
      <c r="K73" s="85"/>
      <c r="L73" s="535">
        <v>0</v>
      </c>
      <c r="M73" s="535"/>
      <c r="N73" s="41"/>
      <c r="O73" s="535"/>
      <c r="P73" s="535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533">
        <f ca="1">IFERROR(__xludf.DUMMYFUNCTION("IMPORTRANGE(""https://docs.google.com/spreadsheets/d/1Yj_ptqi66GCucihVvJfMjLAmec39IyEx_6qawtMGysU/edit?usp=sharing"",""สบก!AG52"")"),0)</f>
        <v>0</v>
      </c>
      <c r="M74" s="536"/>
      <c r="N74" s="533">
        <f ca="1">IFERROR(__xludf.DUMMYFUNCTION("IMPORTRANGE(""https://docs.google.com/spreadsheets/d/1Yj_ptqi66GCucihVvJfMjLAmec39IyEx_6qawtMGysU/edit?usp=sharing"",""สบก!AK52"")"),0)</f>
        <v>0</v>
      </c>
      <c r="O74" s="536">
        <f ca="1">IF(L74&gt;0,N74*100/L74,0)</f>
        <v>0</v>
      </c>
      <c r="P74" s="536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IFERROR(__xludf.DUMMYFUNCTION("IMPORTRANGE(""https://docs.google.com/spreadsheets/d/1XL5vhW3sbDhbH9Cz0tuDiY8C3ctxq1tqvaCgkFb8cCA/edit?usp=sharing"",""สุรินทร์!J16"")"),0)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IFERROR(__xludf.DUMMYFUNCTION("IMPORTRANGE(""https://docs.google.com/spreadsheets/d/1XL5vhW3sbDhbH9Cz0tuDiY8C3ctxq1tqvaCgkFb8cCA/edit?usp=sharing"",""สุรินทร์!J17"")"),0)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IFERROR(__xludf.DUMMYFUNCTION("IMPORTRANGE(""https://docs.google.com/spreadsheets/d/1XL5vhW3sbDhbH9Cz0tuDiY8C3ctxq1tqvaCgkFb8cCA/edit?usp=sharing"",""สุรินทร์!J18"")"),0)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IFERROR(__xludf.DUMMYFUNCTION("IMPORTRANGE(""https://docs.google.com/spreadsheets/d/1XL5vhW3sbDhbH9Cz0tuDiY8C3ctxq1tqvaCgkFb8cCA/edit?usp=sharing"",""สุรินทร์!J19"")"),0)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IFERROR(__xludf.DUMMYFUNCTION("IMPORTRANGE(""https://docs.google.com/spreadsheets/d/1XL5vhW3sbDhbH9Cz0tuDiY8C3ctxq1tqvaCgkFb8cCA/edit?usp=sharing"",""สุรินทร์!I20"")"),0)</f>
        <v>0</v>
      </c>
      <c r="J80" s="201">
        <f ca="1">IFERROR(__xludf.DUMMYFUNCTION("IMPORTRANGE(""https://docs.google.com/spreadsheets/d/1XL5vhW3sbDhbH9Cz0tuDiY8C3ctxq1tqvaCgkFb8cCA/edit?usp=sharing"",""สุรินทร์!J20"")"),0)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IFERROR(__xludf.DUMMYFUNCTION("IMPORTRANGE(""https://docs.google.com/spreadsheets/d/1XL5vhW3sbDhbH9Cz0tuDiY8C3ctxq1tqvaCgkFb8cCA/edit?usp=sharing"",""สุรินทร์!I21"")"),0)</f>
        <v>0</v>
      </c>
      <c r="J81" s="201">
        <f ca="1">IFERROR(__xludf.DUMMYFUNCTION("IMPORTRANGE(""https://docs.google.com/spreadsheets/d/1XL5vhW3sbDhbH9Cz0tuDiY8C3ctxq1tqvaCgkFb8cCA/edit?usp=sharing"",""สุรินทร์!J21"")"),0)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IFERROR(__xludf.DUMMYFUNCTION("IMPORTRANGE(""https://docs.google.com/spreadsheets/d/1XL5vhW3sbDhbH9Cz0tuDiY8C3ctxq1tqvaCgkFb8cCA/edit?usp=sharing"",""สุรินทร์!I22"")"),0)</f>
        <v>0</v>
      </c>
      <c r="J82" s="204">
        <f ca="1">IFERROR(__xludf.DUMMYFUNCTION("IMPORTRANGE(""https://docs.google.com/spreadsheets/d/1XL5vhW3sbDhbH9Cz0tuDiY8C3ctxq1tqvaCgkFb8cCA/edit?usp=sharing"",""สุรินทร์!J22"")"),0)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IFERROR(__xludf.DUMMYFUNCTION("IMPORTRANGE(""https://docs.google.com/spreadsheets/d/1XL5vhW3sbDhbH9Cz0tuDiY8C3ctxq1tqvaCgkFb8cCA/edit?usp=sharing"",""สุรินทร์!I23"")"),0)</f>
        <v>0</v>
      </c>
      <c r="J83" s="204">
        <f ca="1">IFERROR(__xludf.DUMMYFUNCTION("IMPORTRANGE(""https://docs.google.com/spreadsheets/d/1XL5vhW3sbDhbH9Cz0tuDiY8C3ctxq1tqvaCgkFb8cCA/edit?usp=sharing"",""สุรินทร์!J23"")"),0)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IFERROR(__xludf.DUMMYFUNCTION("IMPORTRANGE(""https://docs.google.com/spreadsheets/d/1XL5vhW3sbDhbH9Cz0tuDiY8C3ctxq1tqvaCgkFb8cCA/edit?usp=sharing"",""สุรินทร์!I24"")"),0)</f>
        <v>0</v>
      </c>
      <c r="J84" s="189">
        <f ca="1">IFERROR(__xludf.DUMMYFUNCTION("IMPORTRANGE(""https://docs.google.com/spreadsheets/d/1XL5vhW3sbDhbH9Cz0tuDiY8C3ctxq1tqvaCgkFb8cCA/edit?usp=sharing"",""สุรินทร์!J24"")"),0)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IFERROR(__xludf.DUMMYFUNCTION("IMPORTRANGE(""https://docs.google.com/spreadsheets/d/1XL5vhW3sbDhbH9Cz0tuDiY8C3ctxq1tqvaCgkFb8cCA/edit?usp=sharing"",""สุรินทร์!I25"")"),0)</f>
        <v>0</v>
      </c>
      <c r="J85" s="189">
        <f ca="1">IFERROR(__xludf.DUMMYFUNCTION("IMPORTRANGE(""https://docs.google.com/spreadsheets/d/1XL5vhW3sbDhbH9Cz0tuDiY8C3ctxq1tqvaCgkFb8cCA/edit?usp=sharing"",""สุรินทร์!J25"")"),0)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IFERROR(__xludf.DUMMYFUNCTION("IMPORTRANGE(""https://docs.google.com/spreadsheets/d/1XL5vhW3sbDhbH9Cz0tuDiY8C3ctxq1tqvaCgkFb8cCA/edit?usp=sharing"",""สุรินทร์!I26"")"),0)</f>
        <v>0</v>
      </c>
      <c r="J86" s="204">
        <f ca="1">IFERROR(__xludf.DUMMYFUNCTION("IMPORTRANGE(""https://docs.google.com/spreadsheets/d/1XL5vhW3sbDhbH9Cz0tuDiY8C3ctxq1tqvaCgkFb8cCA/edit?usp=sharing"",""สุรินทร์!J26"")"),0)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IFERROR(__xludf.DUMMYFUNCTION("IMPORTRANGE(""https://docs.google.com/spreadsheets/d/1XL5vhW3sbDhbH9Cz0tuDiY8C3ctxq1tqvaCgkFb8cCA/edit?usp=sharing"",""สุรินทร์!I27"")"),0)</f>
        <v>0</v>
      </c>
      <c r="J87" s="204">
        <f ca="1">IFERROR(__xludf.DUMMYFUNCTION("IMPORTRANGE(""https://docs.google.com/spreadsheets/d/1XL5vhW3sbDhbH9Cz0tuDiY8C3ctxq1tqvaCgkFb8cCA/edit?usp=sharing"",""สุรินทร์!J27"")"),0)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IFERROR(__xludf.DUMMYFUNCTION("IMPORTRANGE(""https://docs.google.com/spreadsheets/d/1XL5vhW3sbDhbH9Cz0tuDiY8C3ctxq1tqvaCgkFb8cCA/edit?usp=sharing"",""สุรินทร์!I28"")"),0)</f>
        <v>0</v>
      </c>
      <c r="J88" s="204">
        <f ca="1">IFERROR(__xludf.DUMMYFUNCTION("IMPORTRANGE(""https://docs.google.com/spreadsheets/d/1XL5vhW3sbDhbH9Cz0tuDiY8C3ctxq1tqvaCgkFb8cCA/edit?usp=sharing"",""สุรินทร์!J28"")"),0)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IFERROR(__xludf.DUMMYFUNCTION("IMPORTRANGE(""https://docs.google.com/spreadsheets/d/1XL5vhW3sbDhbH9Cz0tuDiY8C3ctxq1tqvaCgkFb8cCA/edit?usp=sharing"",""สุรินทร์!J29"")"),0)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IFERROR(__xludf.DUMMYFUNCTION("IMPORTRANGE(""https://docs.google.com/spreadsheets/d/1XL5vhW3sbDhbH9Cz0tuDiY8C3ctxq1tqvaCgkFb8cCA/edit?usp=sharing"",""สุรินทร์!J30"")"),0)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IFERROR(__xludf.DUMMYFUNCTION("IMPORTRANGE(""https://docs.google.com/spreadsheets/d/1XL5vhW3sbDhbH9Cz0tuDiY8C3ctxq1tqvaCgkFb8cCA/edit?usp=sharing"",""สุรินทร์!I32"")"),0)</f>
        <v>0</v>
      </c>
      <c r="J92" s="142">
        <f ca="1">IFERROR(__xludf.DUMMYFUNCTION("IMPORTRANGE(""https://docs.google.com/spreadsheets/d/1XL5vhW3sbDhbH9Cz0tuDiY8C3ctxq1tqvaCgkFb8cCA/edit?usp=sharing"",""สุรินทร์!J32"")"),0)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IFERROR(__xludf.DUMMYFUNCTION("IMPORTRANGE(""https://docs.google.com/spreadsheets/d/1XL5vhW3sbDhbH9Cz0tuDiY8C3ctxq1tqvaCgkFb8cCA/edit?usp=sharing"",""สุรินทร์!I33"")"),0)</f>
        <v>0</v>
      </c>
      <c r="J93" s="142">
        <f ca="1">IFERROR(__xludf.DUMMYFUNCTION("IMPORTRANGE(""https://docs.google.com/spreadsheets/d/1XL5vhW3sbDhbH9Cz0tuDiY8C3ctxq1tqvaCgkFb8cCA/edit?usp=sharing"",""สุรินทร์!J33"")"),0)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54" t="s">
        <v>17</v>
      </c>
      <c r="E94" s="555"/>
      <c r="F94" s="555"/>
      <c r="G94" s="55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52" t="s">
        <v>20</v>
      </c>
      <c r="E97" s="553"/>
      <c r="F97" s="55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537">
        <f ca="1">IFERROR(__xludf.DUMMYFUNCTION("IMPORTRANGE(""https://docs.google.com/spreadsheets/d/1Yj_ptqi66GCucihVvJfMjLAmec39IyEx_6qawtMGysU/edit?usp=sharing"",""สบก!AR52"")"),0)</f>
        <v>0</v>
      </c>
      <c r="N98" s="538">
        <f ca="1">IFERROR(__xludf.DUMMYFUNCTION("IMPORTRANGE(""https://docs.google.com/spreadsheets/d/1Yj_ptqi66GCucihVvJfMjLAmec39IyEx_6qawtMGysU/edit?usp=sharing"",""สบก!AS52"")"),0)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537">
        <f ca="1">IFERROR(__xludf.DUMMYFUNCTION("IMPORTRANGE(""https://docs.google.com/spreadsheets/d/1Yj_ptqi66GCucihVvJfMjLAmec39IyEx_6qawtMGysU/edit?usp=sharing"",""สบก!AN52"")"),0)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537">
        <f ca="1">IFERROR(__xludf.DUMMYFUNCTION("IMPORTRANGE(""https://docs.google.com/spreadsheets/d/1Yj_ptqi66GCucihVvJfMjLAmec39IyEx_6qawtMGysU/edit?usp=sharing"",""สบก!AO52"")"),0)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52" t="s">
        <v>23</v>
      </c>
      <c r="E101" s="553"/>
      <c r="F101" s="89"/>
      <c r="G101" s="82" t="s">
        <v>18</v>
      </c>
      <c r="H101" s="172" t="s">
        <v>12</v>
      </c>
      <c r="I101" s="188"/>
      <c r="J101" s="188"/>
      <c r="K101" s="224"/>
      <c r="L101" s="535">
        <v>0</v>
      </c>
      <c r="M101" s="535"/>
      <c r="N101" s="41"/>
      <c r="O101" s="535"/>
      <c r="P101" s="535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533">
        <f ca="1">IFERROR(__xludf.DUMMYFUNCTION("IMPORTRANGE(""https://docs.google.com/spreadsheets/d/1Yj_ptqi66GCucihVvJfMjLAmec39IyEx_6qawtMGysU/edit?usp=sharing"",""สบก!AP52"")"),0)</f>
        <v>0</v>
      </c>
      <c r="M102" s="536"/>
      <c r="N102" s="533">
        <f ca="1">IFERROR(__xludf.DUMMYFUNCTION("IMPORTRANGE(""https://docs.google.com/spreadsheets/d/1Yj_ptqi66GCucihVvJfMjLAmec39IyEx_6qawtMGysU/edit?usp=sharing"",""สบก!AT52"")"),0)</f>
        <v>0</v>
      </c>
      <c r="O102" s="536">
        <f ca="1">IF(L102&gt;0,N102*100/L102,0)</f>
        <v>0</v>
      </c>
      <c r="P102" s="536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IFERROR(__xludf.DUMMYFUNCTION("IMPORTRANGE(""https://docs.google.com/spreadsheets/d/1XL5vhW3sbDhbH9Cz0tuDiY8C3ctxq1tqvaCgkFb8cCA/edit?usp=sharing"",""สุรินทร์!J39"")"),0)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IFERROR(__xludf.DUMMYFUNCTION("IMPORTRANGE(""https://docs.google.com/spreadsheets/d/1XL5vhW3sbDhbH9Cz0tuDiY8C3ctxq1tqvaCgkFb8cCA/edit?usp=sharing"",""สุรินทร์!J40"")"),0)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IFERROR(__xludf.DUMMYFUNCTION("IMPORTRANGE(""https://docs.google.com/spreadsheets/d/1XL5vhW3sbDhbH9Cz0tuDiY8C3ctxq1tqvaCgkFb8cCA/edit?usp=sharing"",""สุรินทร์!J41"")"),0)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IFERROR(__xludf.DUMMYFUNCTION("IMPORTRANGE(""https://docs.google.com/spreadsheets/d/1XL5vhW3sbDhbH9Cz0tuDiY8C3ctxq1tqvaCgkFb8cCA/edit?usp=sharing"",""สุรินทร์!J42"")"),0)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IFERROR(__xludf.DUMMYFUNCTION("IMPORTRANGE(""https://docs.google.com/spreadsheets/d/1XL5vhW3sbDhbH9Cz0tuDiY8C3ctxq1tqvaCgkFb8cCA/edit?usp=sharing"",""สุรินทร์!I43"")"),0)</f>
        <v>0</v>
      </c>
      <c r="J108" s="204">
        <f ca="1">IFERROR(__xludf.DUMMYFUNCTION("IMPORTRANGE(""https://docs.google.com/spreadsheets/d/1XL5vhW3sbDhbH9Cz0tuDiY8C3ctxq1tqvaCgkFb8cCA/edit?usp=sharing"",""สุรินทร์!J43"")"),0)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IFERROR(__xludf.DUMMYFUNCTION("IMPORTRANGE(""https://docs.google.com/spreadsheets/d/1XL5vhW3sbDhbH9Cz0tuDiY8C3ctxq1tqvaCgkFb8cCA/edit?usp=sharing"",""สุรินทร์!I44"")"),0)</f>
        <v>0</v>
      </c>
      <c r="J109" s="204">
        <f ca="1">IFERROR(__xludf.DUMMYFUNCTION("IMPORTRANGE(""https://docs.google.com/spreadsheets/d/1XL5vhW3sbDhbH9Cz0tuDiY8C3ctxq1tqvaCgkFb8cCA/edit?usp=sharing"",""สุรินทร์!J44"")"),0)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IFERROR(__xludf.DUMMYFUNCTION("IMPORTRANGE(""https://docs.google.com/spreadsheets/d/1XL5vhW3sbDhbH9Cz0tuDiY8C3ctxq1tqvaCgkFb8cCA/edit?usp=sharing"",""สุรินทร์!I45"")"),0)</f>
        <v>0</v>
      </c>
      <c r="J110" s="204">
        <f ca="1">IFERROR(__xludf.DUMMYFUNCTION("IMPORTRANGE(""https://docs.google.com/spreadsheets/d/1XL5vhW3sbDhbH9Cz0tuDiY8C3ctxq1tqvaCgkFb8cCA/edit?usp=sharing"",""สุรินทร์!J45"")"),0)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IFERROR(__xludf.DUMMYFUNCTION("IMPORTRANGE(""https://docs.google.com/spreadsheets/d/1XL5vhW3sbDhbH9Cz0tuDiY8C3ctxq1tqvaCgkFb8cCA/edit?usp=sharing"",""สุรินทร์!I46"")"),0)</f>
        <v>0</v>
      </c>
      <c r="J111" s="204">
        <f ca="1">IFERROR(__xludf.DUMMYFUNCTION("IMPORTRANGE(""https://docs.google.com/spreadsheets/d/1XL5vhW3sbDhbH9Cz0tuDiY8C3ctxq1tqvaCgkFb8cCA/edit?usp=sharing"",""สุรินทร์!J46"")"),0)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IFERROR(__xludf.DUMMYFUNCTION("IMPORTRANGE(""https://docs.google.com/spreadsheets/d/1XL5vhW3sbDhbH9Cz0tuDiY8C3ctxq1tqvaCgkFb8cCA/edit?usp=sharing"",""สุรินทร์!I47"")"),0)</f>
        <v>0</v>
      </c>
      <c r="J112" s="204">
        <f ca="1">IFERROR(__xludf.DUMMYFUNCTION("IMPORTRANGE(""https://docs.google.com/spreadsheets/d/1XL5vhW3sbDhbH9Cz0tuDiY8C3ctxq1tqvaCgkFb8cCA/edit?usp=sharing"",""สุรินทร์!J47"")"),0)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IFERROR(__xludf.DUMMYFUNCTION("IMPORTRANGE(""https://docs.google.com/spreadsheets/d/1XL5vhW3sbDhbH9Cz0tuDiY8C3ctxq1tqvaCgkFb8cCA/edit?usp=sharing"",""สุรินทร์!I48"")"),0)</f>
        <v>0</v>
      </c>
      <c r="J113" s="204">
        <f ca="1">IFERROR(__xludf.DUMMYFUNCTION("IMPORTRANGE(""https://docs.google.com/spreadsheets/d/1XL5vhW3sbDhbH9Cz0tuDiY8C3ctxq1tqvaCgkFb8cCA/edit?usp=sharing"",""สุรินทร์!J48"")"),0)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IFERROR(__xludf.DUMMYFUNCTION("IMPORTRANGE(""https://docs.google.com/spreadsheets/d/1XL5vhW3sbDhbH9Cz0tuDiY8C3ctxq1tqvaCgkFb8cCA/edit?usp=sharing"",""สุรินทร์!J49"")"),0)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IFERROR(__xludf.DUMMYFUNCTION("IMPORTRANGE(""https://docs.google.com/spreadsheets/d/1XL5vhW3sbDhbH9Cz0tuDiY8C3ctxq1tqvaCgkFb8cCA/edit?usp=sharing"",""สุรินทร์!J50"")"),0)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IFERROR(__xludf.DUMMYFUNCTION("IMPORTRANGE(""https://docs.google.com/spreadsheets/d/1XL5vhW3sbDhbH9Cz0tuDiY8C3ctxq1tqvaCgkFb8cCA/edit?usp=sharing"",""สุรินทร์!I52"")"),0)</f>
        <v>0</v>
      </c>
      <c r="J117" s="142">
        <f ca="1">IFERROR(__xludf.DUMMYFUNCTION("IMPORTRANGE(""https://docs.google.com/spreadsheets/d/1XL5vhW3sbDhbH9Cz0tuDiY8C3ctxq1tqvaCgkFb8cCA/edit?usp=sharing"",""สุรินทร์!J52"")"),0)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54" t="s">
        <v>17</v>
      </c>
      <c r="E118" s="555"/>
      <c r="F118" s="555"/>
      <c r="G118" s="55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52" t="s">
        <v>20</v>
      </c>
      <c r="E121" s="553"/>
      <c r="F121" s="55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537">
        <f ca="1">IFERROR(__xludf.DUMMYFUNCTION("IMPORTRANGE(""https://docs.google.com/spreadsheets/d/1Yj_ptqi66GCucihVvJfMjLAmec39IyEx_6qawtMGysU/edit?usp=sharing"",""สบก!BA52"")"),0)</f>
        <v>0</v>
      </c>
      <c r="N122" s="538">
        <f ca="1">IFERROR(__xludf.DUMMYFUNCTION("IMPORTRANGE(""https://docs.google.com/spreadsheets/d/1Yj_ptqi66GCucihVvJfMjLAmec39IyEx_6qawtMGysU/edit?usp=sharing"",""สบก!BB52"")"),0)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537">
        <f ca="1">IFERROR(__xludf.DUMMYFUNCTION("IMPORTRANGE(""https://docs.google.com/spreadsheets/d/1Yj_ptqi66GCucihVvJfMjLAmec39IyEx_6qawtMGysU/edit?usp=sharing"",""สบก!AW52"")"),0)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537">
        <f ca="1">IFERROR(__xludf.DUMMYFUNCTION("IMPORTRANGE(""https://docs.google.com/spreadsheets/d/1Yj_ptqi66GCucihVvJfMjLAmec39IyEx_6qawtMGysU/edit?usp=sharing"",""สบก!AX52"")"),0)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52" t="s">
        <v>23</v>
      </c>
      <c r="E125" s="553"/>
      <c r="F125" s="89"/>
      <c r="G125" s="82" t="s">
        <v>18</v>
      </c>
      <c r="H125" s="172" t="s">
        <v>12</v>
      </c>
      <c r="I125" s="188"/>
      <c r="J125" s="188"/>
      <c r="K125" s="224"/>
      <c r="L125" s="535">
        <v>0</v>
      </c>
      <c r="M125" s="535"/>
      <c r="N125" s="41"/>
      <c r="O125" s="535"/>
      <c r="P125" s="535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533">
        <f ca="1">IFERROR(__xludf.DUMMYFUNCTION("IMPORTRANGE(""https://docs.google.com/spreadsheets/d/1Yj_ptqi66GCucihVvJfMjLAmec39IyEx_6qawtMGysU/edit?usp=sharing"",""สบก!AY52"")"),0)</f>
        <v>0</v>
      </c>
      <c r="M126" s="536"/>
      <c r="N126" s="533">
        <f ca="1">IFERROR(__xludf.DUMMYFUNCTION("IMPORTRANGE(""https://docs.google.com/spreadsheets/d/1Yj_ptqi66GCucihVvJfMjLAmec39IyEx_6qawtMGysU/edit?usp=sharing"",""สบก!BC52"")"),0)</f>
        <v>0</v>
      </c>
      <c r="O126" s="536">
        <f ca="1">IF(L126&gt;0,N126*100/L126,0)</f>
        <v>0</v>
      </c>
      <c r="P126" s="536"/>
    </row>
    <row r="127" spans="1:16" ht="21.75" customHeight="1" x14ac:dyDescent="0.35">
      <c r="A127" s="176"/>
      <c r="B127" s="177"/>
      <c r="C127" s="159" t="s">
        <v>16</v>
      </c>
      <c r="D127" s="233" t="s">
        <v>267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IFERROR(__xludf.DUMMYFUNCTION("IMPORTRANGE(""https://docs.google.com/spreadsheets/d/1XL5vhW3sbDhbH9Cz0tuDiY8C3ctxq1tqvaCgkFb8cCA/edit?usp=sharing"",""สุรินทร์!J58"")"),0)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IFERROR(__xludf.DUMMYFUNCTION("IMPORTRANGE(""https://docs.google.com/spreadsheets/d/1XL5vhW3sbDhbH9Cz0tuDiY8C3ctxq1tqvaCgkFb8cCA/edit?usp=sharing"",""สุรินทร์!J59"")"),0)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IFERROR(__xludf.DUMMYFUNCTION("IMPORTRANGE(""https://docs.google.com/spreadsheets/d/1XL5vhW3sbDhbH9Cz0tuDiY8C3ctxq1tqvaCgkFb8cCA/edit?usp=sharing"",""สุรินทร์!J60"")"),0)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IFERROR(__xludf.DUMMYFUNCTION("IMPORTRANGE(""https://docs.google.com/spreadsheets/d/1XL5vhW3sbDhbH9Cz0tuDiY8C3ctxq1tqvaCgkFb8cCA/edit?usp=sharing"",""สุรินทร์!J61"")"),0)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IFERROR(__xludf.DUMMYFUNCTION("IMPORTRANGE(""https://docs.google.com/spreadsheets/d/1XL5vhW3sbDhbH9Cz0tuDiY8C3ctxq1tqvaCgkFb8cCA/edit?usp=sharing"",""สุรินทร์!I62"")"),0)</f>
        <v>0</v>
      </c>
      <c r="J132" s="204">
        <f ca="1">IFERROR(__xludf.DUMMYFUNCTION("IMPORTRANGE(""https://docs.google.com/spreadsheets/d/1XL5vhW3sbDhbH9Cz0tuDiY8C3ctxq1tqvaCgkFb8cCA/edit?usp=sharing"",""สุรินทร์!J62"")"),0)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IFERROR(__xludf.DUMMYFUNCTION("IMPORTRANGE(""https://docs.google.com/spreadsheets/d/1XL5vhW3sbDhbH9Cz0tuDiY8C3ctxq1tqvaCgkFb8cCA/edit?usp=sharing"",""สุรินทร์!I63"")"),0)</f>
        <v>0</v>
      </c>
      <c r="J133" s="204">
        <f ca="1">IFERROR(__xludf.DUMMYFUNCTION("IMPORTRANGE(""https://docs.google.com/spreadsheets/d/1XL5vhW3sbDhbH9Cz0tuDiY8C3ctxq1tqvaCgkFb8cCA/edit?usp=sharing"",""สุรินทร์!J63"")"),0)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IFERROR(__xludf.DUMMYFUNCTION("IMPORTRANGE(""https://docs.google.com/spreadsheets/d/1XL5vhW3sbDhbH9Cz0tuDiY8C3ctxq1tqvaCgkFb8cCA/edit?usp=sharing"",""สุรินทร์!J64"")"),0)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IFERROR(__xludf.DUMMYFUNCTION("IMPORTRANGE(""https://docs.google.com/spreadsheets/d/1XL5vhW3sbDhbH9Cz0tuDiY8C3ctxq1tqvaCgkFb8cCA/edit?usp=sharing"",""สุรินทร์!J65"")"),0)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IFERROR(__xludf.DUMMYFUNCTION("IMPORTRANGE(""https://docs.google.com/spreadsheets/d/1XL5vhW3sbDhbH9Cz0tuDiY8C3ctxq1tqvaCgkFb8cCA/edit?usp=sharing"",""สุรินทร์!I68"")"),0)</f>
        <v>0</v>
      </c>
      <c r="J138" s="267">
        <f ca="1">IFERROR(__xludf.DUMMYFUNCTION("IMPORTRANGE(""https://docs.google.com/spreadsheets/d/1XL5vhW3sbDhbH9Cz0tuDiY8C3ctxq1tqvaCgkFb8cCA/edit?usp=sharing"",""สุรินทร์!J68"")"),0)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54" t="s">
        <v>17</v>
      </c>
      <c r="E140" s="555"/>
      <c r="F140" s="555"/>
      <c r="G140" s="555"/>
      <c r="H140" s="149" t="s">
        <v>12</v>
      </c>
      <c r="I140" s="162"/>
      <c r="J140" s="162"/>
      <c r="K140" s="163"/>
      <c r="L140" s="152">
        <f t="shared" ref="L140:N140" ca="1" si="64">L141+L142</f>
        <v>117900</v>
      </c>
      <c r="M140" s="152">
        <f t="shared" ca="1" si="64"/>
        <v>115625</v>
      </c>
      <c r="N140" s="152">
        <f t="shared" ca="1" si="64"/>
        <v>62965</v>
      </c>
      <c r="O140" s="151">
        <f t="shared" ref="O140:O142" ca="1" si="65">IF(L140&gt;0,N140*100/L140,0)</f>
        <v>53.405428329092452</v>
      </c>
      <c r="P140" s="151">
        <f t="shared" ref="P140:P142" ca="1" si="66">IF(M140&gt;0,N140*100/M140,0)</f>
        <v>54.45621621621622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117900</v>
      </c>
      <c r="M142" s="157">
        <f t="shared" ca="1" si="68"/>
        <v>115625</v>
      </c>
      <c r="N142" s="157">
        <f t="shared" ca="1" si="68"/>
        <v>62965</v>
      </c>
      <c r="O142" s="156">
        <f t="shared" ca="1" si="65"/>
        <v>53.405428329092452</v>
      </c>
      <c r="P142" s="156">
        <f t="shared" ca="1" si="66"/>
        <v>54.45621621621622</v>
      </c>
    </row>
    <row r="143" spans="1:16" ht="21.75" customHeight="1" x14ac:dyDescent="0.45">
      <c r="A143" s="158"/>
      <c r="B143" s="159"/>
      <c r="C143" s="159" t="s">
        <v>16</v>
      </c>
      <c r="D143" s="552" t="s">
        <v>20</v>
      </c>
      <c r="E143" s="553"/>
      <c r="F143" s="55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117900</v>
      </c>
      <c r="M144" s="537">
        <f ca="1">IFERROR(__xludf.DUMMYFUNCTION("IMPORTRANGE(""https://docs.google.com/spreadsheets/d/1Yj_ptqi66GCucihVvJfMjLAmec39IyEx_6qawtMGysU/edit?usp=sharing"",""สบก!BJ52"")"),115625)</f>
        <v>115625</v>
      </c>
      <c r="N144" s="538">
        <f ca="1">IFERROR(__xludf.DUMMYFUNCTION("IMPORTRANGE(""https://docs.google.com/spreadsheets/d/1Yj_ptqi66GCucihVvJfMjLAmec39IyEx_6qawtMGysU/edit?usp=sharing"",""สบก!BK52"")"),62965)</f>
        <v>62965</v>
      </c>
      <c r="O144" s="169">
        <f ca="1">IF(L144&gt;0,N144*100/L144,0)</f>
        <v>53.405428329092452</v>
      </c>
      <c r="P144" s="169">
        <f ca="1">IF(M144&gt;0,N144*100/M144,0)</f>
        <v>54.45621621621622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537">
        <f ca="1">IFERROR(__xludf.DUMMYFUNCTION("IMPORTRANGE(""https://docs.google.com/spreadsheets/d/1Yj_ptqi66GCucihVvJfMjLAmec39IyEx_6qawtMGysU/edit?usp=sharing"",""สบก!BF52"")"),0)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537">
        <f ca="1">IFERROR(__xludf.DUMMYFUNCTION("IMPORTRANGE(""https://docs.google.com/spreadsheets/d/1Yj_ptqi66GCucihVvJfMjLAmec39IyEx_6qawtMGysU/edit?usp=sharing"",""สบก!BG52"")"),117900)</f>
        <v>117900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52" t="s">
        <v>23</v>
      </c>
      <c r="E147" s="553"/>
      <c r="F147" s="89"/>
      <c r="G147" s="82" t="s">
        <v>18</v>
      </c>
      <c r="H147" s="172" t="s">
        <v>12</v>
      </c>
      <c r="I147" s="188"/>
      <c r="J147" s="188"/>
      <c r="K147" s="224"/>
      <c r="L147" s="535">
        <v>0</v>
      </c>
      <c r="M147" s="535"/>
      <c r="N147" s="41"/>
      <c r="O147" s="535"/>
      <c r="P147" s="535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533">
        <f ca="1">IFERROR(__xludf.DUMMYFUNCTION("IMPORTRANGE(""https://docs.google.com/spreadsheets/d/1Yj_ptqi66GCucihVvJfMjLAmec39IyEx_6qawtMGysU/edit?usp=sharing"",""สบก!BH52"")"),0)</f>
        <v>0</v>
      </c>
      <c r="M148" s="536"/>
      <c r="N148" s="533">
        <f ca="1">IFERROR(__xludf.DUMMYFUNCTION("IMPORTRANGE(""https://docs.google.com/spreadsheets/d/1Yj_ptqi66GCucihVvJfMjLAmec39IyEx_6qawtMGysU/edit?usp=sharing"",""สบก!BL52"")"),0)</f>
        <v>0</v>
      </c>
      <c r="O148" s="536">
        <f ca="1">IF(L148&gt;0,N148*100/L148,0)</f>
        <v>0</v>
      </c>
      <c r="P148" s="536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IFERROR(__xludf.DUMMYFUNCTION("IMPORTRANGE(""https://docs.google.com/spreadsheets/d/1XL5vhW3sbDhbH9Cz0tuDiY8C3ctxq1tqvaCgkFb8cCA/edit?usp=sharing"",""สุรินทร์!I74"")"),4)</f>
        <v>4</v>
      </c>
      <c r="J149" s="275">
        <f ca="1">IFERROR(__xludf.DUMMYFUNCTION("IMPORTRANGE(""https://docs.google.com/spreadsheets/d/1XL5vhW3sbDhbH9Cz0tuDiY8C3ctxq1tqvaCgkFb8cCA/edit?usp=sharing"",""สุรินทร์!J74"")"),2)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IFERROR(__xludf.DUMMYFUNCTION("IMPORTRANGE(""https://docs.google.com/spreadsheets/d/1XL5vhW3sbDhbH9Cz0tuDiY8C3ctxq1tqvaCgkFb8cCA/edit?usp=sharing"",""สุรินทร์!J79"")"),0)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IFERROR(__xludf.DUMMYFUNCTION("IMPORTRANGE(""https://docs.google.com/spreadsheets/d/1XL5vhW3sbDhbH9Cz0tuDiY8C3ctxq1tqvaCgkFb8cCA/edit?usp=sharing"",""สุรินทร์!J80"")"),1)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IFERROR(__xludf.DUMMYFUNCTION("IMPORTRANGE(""https://docs.google.com/spreadsheets/d/1XL5vhW3sbDhbH9Cz0tuDiY8C3ctxq1tqvaCgkFb8cCA/edit?usp=sharing"",""สุรินทร์!J81"")"),1)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IFERROR(__xludf.DUMMYFUNCTION("IMPORTRANGE(""https://docs.google.com/spreadsheets/d/1XL5vhW3sbDhbH9Cz0tuDiY8C3ctxq1tqvaCgkFb8cCA/edit?usp=sharing"",""สุรินทร์!J82"")"),1)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IFERROR(__xludf.DUMMYFUNCTION("IMPORTRANGE(""https://docs.google.com/spreadsheets/d/1XL5vhW3sbDhbH9Cz0tuDiY8C3ctxq1tqvaCgkFb8cCA/edit?usp=sharing"",""สุรินทร์!I83"")"),4)</f>
        <v>4</v>
      </c>
      <c r="J158" s="189">
        <f ca="1">IFERROR(__xludf.DUMMYFUNCTION("IMPORTRANGE(""https://docs.google.com/spreadsheets/d/1XL5vhW3sbDhbH9Cz0tuDiY8C3ctxq1tqvaCgkFb8cCA/edit?usp=sharing"",""สุรินทร์!J83"")"),2)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IFERROR(__xludf.DUMMYFUNCTION("IMPORTRANGE(""https://docs.google.com/spreadsheets/d/1XL5vhW3sbDhbH9Cz0tuDiY8C3ctxq1tqvaCgkFb8cCA/edit?usp=sharing"",""สุรินทร์!J84"")"),95)</f>
        <v>95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IFERROR(__xludf.DUMMYFUNCTION("IMPORTRANGE(""https://docs.google.com/spreadsheets/d/1XL5vhW3sbDhbH9Cz0tuDiY8C3ctxq1tqvaCgkFb8cCA/edit?usp=sharing"",""สุรินทร์!J85"")"),95)</f>
        <v>95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IFERROR(__xludf.DUMMYFUNCTION("IMPORTRANGE(""https://docs.google.com/spreadsheets/d/1XL5vhW3sbDhbH9Cz0tuDiY8C3ctxq1tqvaCgkFb8cCA/edit?usp=sharing"",""สุรินทร์!J86"")"),0)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IFERROR(__xludf.DUMMYFUNCTION("IMPORTRANGE(""https://docs.google.com/spreadsheets/d/1XL5vhW3sbDhbH9Cz0tuDiY8C3ctxq1tqvaCgkFb8cCA/edit?usp=sharing"",""สุรินทร์!J87"")"),0)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IFERROR(__xludf.DUMMYFUNCTION("IMPORTRANGE(""https://docs.google.com/spreadsheets/d/1XL5vhW3sbDhbH9Cz0tuDiY8C3ctxq1tqvaCgkFb8cCA/edit?usp=sharing"",""สุรินทร์!J88"")"),0)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IFERROR(__xludf.DUMMYFUNCTION("IMPORTRANGE(""https://docs.google.com/spreadsheets/d/1XL5vhW3sbDhbH9Cz0tuDiY8C3ctxq1tqvaCgkFb8cCA/edit?usp=sharing"",""สุรินทร์!I89"")"),3)</f>
        <v>3</v>
      </c>
      <c r="J164" s="284">
        <f ca="1">IFERROR(__xludf.DUMMYFUNCTION("IMPORTRANGE(""https://docs.google.com/spreadsheets/d/1XL5vhW3sbDhbH9Cz0tuDiY8C3ctxq1tqvaCgkFb8cCA/edit?usp=sharing"",""สุรินทร์!J89"")"),3)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IFERROR(__xludf.DUMMYFUNCTION("IMPORTRANGE(""https://docs.google.com/spreadsheets/d/1XL5vhW3sbDhbH9Cz0tuDiY8C3ctxq1tqvaCgkFb8cCA/edit?usp=sharing"",""สุรินทร์!J94"")"),0)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IFERROR(__xludf.DUMMYFUNCTION("IMPORTRANGE(""https://docs.google.com/spreadsheets/d/1XL5vhW3sbDhbH9Cz0tuDiY8C3ctxq1tqvaCgkFb8cCA/edit?usp=sharing"",""สุรินทร์!J95"")"),1)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IFERROR(__xludf.DUMMYFUNCTION("IMPORTRANGE(""https://docs.google.com/spreadsheets/d/1XL5vhW3sbDhbH9Cz0tuDiY8C3ctxq1tqvaCgkFb8cCA/edit?usp=sharing"",""สุรินทร์!J96"")"),1)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IFERROR(__xludf.DUMMYFUNCTION("IMPORTRANGE(""https://docs.google.com/spreadsheets/d/1XL5vhW3sbDhbH9Cz0tuDiY8C3ctxq1tqvaCgkFb8cCA/edit?usp=sharing"",""สุรินทร์!J97"")"),1)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IFERROR(__xludf.DUMMYFUNCTION("IMPORTRANGE(""https://docs.google.com/spreadsheets/d/1XL5vhW3sbDhbH9Cz0tuDiY8C3ctxq1tqvaCgkFb8cCA/edit?usp=sharing"",""สุรินทร์!I98"")"),3)</f>
        <v>3</v>
      </c>
      <c r="J173" s="189">
        <f ca="1">IFERROR(__xludf.DUMMYFUNCTION("IMPORTRANGE(""https://docs.google.com/spreadsheets/d/1XL5vhW3sbDhbH9Cz0tuDiY8C3ctxq1tqvaCgkFb8cCA/edit?usp=sharing"",""สุรินทร์!J98"")"),3)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IFERROR(__xludf.DUMMYFUNCTION("IMPORTRANGE(""https://docs.google.com/spreadsheets/d/1XL5vhW3sbDhbH9Cz0tuDiY8C3ctxq1tqvaCgkFb8cCA/edit?usp=sharing"",""สุรินทร์!J99"")"),0)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IFERROR(__xludf.DUMMYFUNCTION("IMPORTRANGE(""https://docs.google.com/spreadsheets/d/1XL5vhW3sbDhbH9Cz0tuDiY8C3ctxq1tqvaCgkFb8cCA/edit?usp=sharing"",""สุรินทร์!J100"")"),0)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IFERROR(__xludf.DUMMYFUNCTION("IMPORTRANGE(""https://docs.google.com/spreadsheets/d/1XL5vhW3sbDhbH9Cz0tuDiY8C3ctxq1tqvaCgkFb8cCA/edit?usp=sharing"",""สุรินทร์!I101"")"),4)</f>
        <v>4</v>
      </c>
      <c r="J176" s="284">
        <f ca="1">IFERROR(__xludf.DUMMYFUNCTION("IMPORTRANGE(""https://docs.google.com/spreadsheets/d/1XL5vhW3sbDhbH9Cz0tuDiY8C3ctxq1tqvaCgkFb8cCA/edit?usp=sharing"",""สุรินทร์!J101"")"),4)</f>
        <v>4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IFERROR(__xludf.DUMMYFUNCTION("IMPORTRANGE(""https://docs.google.com/spreadsheets/d/1XL5vhW3sbDhbH9Cz0tuDiY8C3ctxq1tqvaCgkFb8cCA/edit?usp=sharing"",""สุรินทร์!J106"")"),0)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IFERROR(__xludf.DUMMYFUNCTION("IMPORTRANGE(""https://docs.google.com/spreadsheets/d/1XL5vhW3sbDhbH9Cz0tuDiY8C3ctxq1tqvaCgkFb8cCA/edit?usp=sharing"",""สุรินทร์!J107"")"),1)</f>
        <v>1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IFERROR(__xludf.DUMMYFUNCTION("IMPORTRANGE(""https://docs.google.com/spreadsheets/d/1XL5vhW3sbDhbH9Cz0tuDiY8C3ctxq1tqvaCgkFb8cCA/edit?usp=sharing"",""สุรินทร์!J108"")"),1)</f>
        <v>1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IFERROR(__xludf.DUMMYFUNCTION("IMPORTRANGE(""https://docs.google.com/spreadsheets/d/1XL5vhW3sbDhbH9Cz0tuDiY8C3ctxq1tqvaCgkFb8cCA/edit?usp=sharing"",""สุรินทร์!J109"")"),1)</f>
        <v>1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IFERROR(__xludf.DUMMYFUNCTION("IMPORTRANGE(""https://docs.google.com/spreadsheets/d/1XL5vhW3sbDhbH9Cz0tuDiY8C3ctxq1tqvaCgkFb8cCA/edit?usp=sharing"",""สุรินทร์!I110"")"),4)</f>
        <v>4</v>
      </c>
      <c r="J185" s="204">
        <f ca="1">IFERROR(__xludf.DUMMYFUNCTION("IMPORTRANGE(""https://docs.google.com/spreadsheets/d/1XL5vhW3sbDhbH9Cz0tuDiY8C3ctxq1tqvaCgkFb8cCA/edit?usp=sharing"",""สุรินทร์!J110"")"),0)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IFERROR(__xludf.DUMMYFUNCTION("IMPORTRANGE(""https://docs.google.com/spreadsheets/d/1XL5vhW3sbDhbH9Cz0tuDiY8C3ctxq1tqvaCgkFb8cCA/edit?usp=sharing"",""สุรินทร์!I111"")"),4)</f>
        <v>4</v>
      </c>
      <c r="J186" s="204">
        <f ca="1">IFERROR(__xludf.DUMMYFUNCTION("IMPORTRANGE(""https://docs.google.com/spreadsheets/d/1XL5vhW3sbDhbH9Cz0tuDiY8C3ctxq1tqvaCgkFb8cCA/edit?usp=sharing"",""สุรินทร์!J111"")"),4)</f>
        <v>4</v>
      </c>
      <c r="K186" s="224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IFERROR(__xludf.DUMMYFUNCTION("IMPORTRANGE(""https://docs.google.com/spreadsheets/d/1XL5vhW3sbDhbH9Cz0tuDiY8C3ctxq1tqvaCgkFb8cCA/edit?usp=sharing"",""สุรินทร์!J112"")"),0)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IFERROR(__xludf.DUMMYFUNCTION("IMPORTRANGE(""https://docs.google.com/spreadsheets/d/1XL5vhW3sbDhbH9Cz0tuDiY8C3ctxq1tqvaCgkFb8cCA/edit?usp=sharing"",""สุรินทร์!J113"")"),0)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IFERROR(__xludf.DUMMYFUNCTION("IMPORTRANGE(""https://docs.google.com/spreadsheets/d/1XL5vhW3sbDhbH9Cz0tuDiY8C3ctxq1tqvaCgkFb8cCA/edit?usp=sharing"",""สุรินทร์!I114"")"),15000)</f>
        <v>15000</v>
      </c>
      <c r="J189" s="284">
        <f ca="1">IFERROR(__xludf.DUMMYFUNCTION("IMPORTRANGE(""https://docs.google.com/spreadsheets/d/1XL5vhW3sbDhbH9Cz0tuDiY8C3ctxq1tqvaCgkFb8cCA/edit?usp=sharing"",""สุรินทร์!J114"")"),0)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IFERROR(__xludf.DUMMYFUNCTION("IMPORTRANGE(""https://docs.google.com/spreadsheets/d/1XL5vhW3sbDhbH9Cz0tuDiY8C3ctxq1tqvaCgkFb8cCA/edit?usp=sharing"",""สุรินทร์!J119"")"),0)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IFERROR(__xludf.DUMMYFUNCTION("IMPORTRANGE(""https://docs.google.com/spreadsheets/d/1XL5vhW3sbDhbH9Cz0tuDiY8C3ctxq1tqvaCgkFb8cCA/edit?usp=sharing"",""สุรินทร์!J120"")"),1)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IFERROR(__xludf.DUMMYFUNCTION("IMPORTRANGE(""https://docs.google.com/spreadsheets/d/1XL5vhW3sbDhbH9Cz0tuDiY8C3ctxq1tqvaCgkFb8cCA/edit?usp=sharing"",""สุรินทร์!J121"")"),0)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IFERROR(__xludf.DUMMYFUNCTION("IMPORTRANGE(""https://docs.google.com/spreadsheets/d/1XL5vhW3sbDhbH9Cz0tuDiY8C3ctxq1tqvaCgkFb8cCA/edit?usp=sharing"",""สุรินทร์!J122"")"),0)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IFERROR(__xludf.DUMMYFUNCTION("IMPORTRANGE(""https://docs.google.com/spreadsheets/d/1XL5vhW3sbDhbH9Cz0tuDiY8C3ctxq1tqvaCgkFb8cCA/edit?usp=sharing"",""สุรินทร์!I124"")"),15000)</f>
        <v>15000</v>
      </c>
      <c r="J199" s="189">
        <f ca="1">IFERROR(__xludf.DUMMYFUNCTION("IMPORTRANGE(""https://docs.google.com/spreadsheets/d/1XL5vhW3sbDhbH9Cz0tuDiY8C3ctxq1tqvaCgkFb8cCA/edit?usp=sharing"",""สุรินทร์!J124"")"),0)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IFERROR(__xludf.DUMMYFUNCTION("IMPORTRANGE(""https://docs.google.com/spreadsheets/d/1XL5vhW3sbDhbH9Cz0tuDiY8C3ctxq1tqvaCgkFb8cCA/edit?usp=sharing"",""สุรินทร์!I125"")"),15000)</f>
        <v>15000</v>
      </c>
      <c r="J200" s="189">
        <f ca="1">IFERROR(__xludf.DUMMYFUNCTION("IMPORTRANGE(""https://docs.google.com/spreadsheets/d/1XL5vhW3sbDhbH9Cz0tuDiY8C3ctxq1tqvaCgkFb8cCA/edit?usp=sharing"",""สุรินทร์!J125"")"),0)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IFERROR(__xludf.DUMMYFUNCTION("IMPORTRANGE(""https://docs.google.com/spreadsheets/d/1XL5vhW3sbDhbH9Cz0tuDiY8C3ctxq1tqvaCgkFb8cCA/edit?usp=sharing"",""สุรินทร์!I126"")"),0)</f>
        <v>0</v>
      </c>
      <c r="J201" s="189">
        <f ca="1">IFERROR(__xludf.DUMMYFUNCTION("IMPORTRANGE(""https://docs.google.com/spreadsheets/d/1XL5vhW3sbDhbH9Cz0tuDiY8C3ctxq1tqvaCgkFb8cCA/edit?usp=sharing"",""สุรินทร์!J126"")"),0)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IFERROR(__xludf.DUMMYFUNCTION("IMPORTRANGE(""https://docs.google.com/spreadsheets/d/1XL5vhW3sbDhbH9Cz0tuDiY8C3ctxq1tqvaCgkFb8cCA/edit?usp=sharing"",""สุรินทร์!J127"")"),0)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IFERROR(__xludf.DUMMYFUNCTION("IMPORTRANGE(""https://docs.google.com/spreadsheets/d/1XL5vhW3sbDhbH9Cz0tuDiY8C3ctxq1tqvaCgkFb8cCA/edit?usp=sharing"",""สุรินทร์!J128"")"),0)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IFERROR(__xludf.DUMMYFUNCTION("IMPORTRANGE(""https://docs.google.com/spreadsheets/d/1XL5vhW3sbDhbH9Cz0tuDiY8C3ctxq1tqvaCgkFb8cCA/edit?usp=sharing"",""สุรินทร์!I129"")"),0)</f>
        <v>0</v>
      </c>
      <c r="J204" s="284">
        <f ca="1">IFERROR(__xludf.DUMMYFUNCTION("IMPORTRANGE(""https://docs.google.com/spreadsheets/d/1XL5vhW3sbDhbH9Cz0tuDiY8C3ctxq1tqvaCgkFb8cCA/edit?usp=sharing"",""สุรินทร์!J129"")"),0)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IFERROR(__xludf.DUMMYFUNCTION("IMPORTRANGE(""https://docs.google.com/spreadsheets/d/1XL5vhW3sbDhbH9Cz0tuDiY8C3ctxq1tqvaCgkFb8cCA/edit?usp=sharing"",""สุรินทร์!J134"")"),0)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IFERROR(__xludf.DUMMYFUNCTION("IMPORTRANGE(""https://docs.google.com/spreadsheets/d/1XL5vhW3sbDhbH9Cz0tuDiY8C3ctxq1tqvaCgkFb8cCA/edit?usp=sharing"",""สุรินทร์!J135"")"),0)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IFERROR(__xludf.DUMMYFUNCTION("IMPORTRANGE(""https://docs.google.com/spreadsheets/d/1XL5vhW3sbDhbH9Cz0tuDiY8C3ctxq1tqvaCgkFb8cCA/edit?usp=sharing"",""สุรินทร์!J136"")"),0)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IFERROR(__xludf.DUMMYFUNCTION("IMPORTRANGE(""https://docs.google.com/spreadsheets/d/1XL5vhW3sbDhbH9Cz0tuDiY8C3ctxq1tqvaCgkFb8cCA/edit?usp=sharing"",""สุรินทร์!J137"")"),0)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IFERROR(__xludf.DUMMYFUNCTION("IMPORTRANGE(""https://docs.google.com/spreadsheets/d/1XL5vhW3sbDhbH9Cz0tuDiY8C3ctxq1tqvaCgkFb8cCA/edit?usp=sharing"",""สุรินทร์!I138"")"),0)</f>
        <v>0</v>
      </c>
      <c r="J213" s="204">
        <f ca="1">IFERROR(__xludf.DUMMYFUNCTION("IMPORTRANGE(""https://docs.google.com/spreadsheets/d/1XL5vhW3sbDhbH9Cz0tuDiY8C3ctxq1tqvaCgkFb8cCA/edit?usp=sharing"",""สุรินทร์!J138"")"),0)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IFERROR(__xludf.DUMMYFUNCTION("IMPORTRANGE(""https://docs.google.com/spreadsheets/d/1XL5vhW3sbDhbH9Cz0tuDiY8C3ctxq1tqvaCgkFb8cCA/edit?usp=sharing"",""สุรินทร์!I140"")"),0)</f>
        <v>0</v>
      </c>
      <c r="J215" s="204">
        <f ca="1">IFERROR(__xludf.DUMMYFUNCTION("IMPORTRANGE(""https://docs.google.com/spreadsheets/d/1XL5vhW3sbDhbH9Cz0tuDiY8C3ctxq1tqvaCgkFb8cCA/edit?usp=sharing"",""สุรินทร์!J140"")"),0)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IFERROR(__xludf.DUMMYFUNCTION("IMPORTRANGE(""https://docs.google.com/spreadsheets/d/1XL5vhW3sbDhbH9Cz0tuDiY8C3ctxq1tqvaCgkFb8cCA/edit?usp=sharing"",""สุรินทร์!I141"")"),0)</f>
        <v>0</v>
      </c>
      <c r="J216" s="204">
        <f ca="1">IFERROR(__xludf.DUMMYFUNCTION("IMPORTRANGE(""https://docs.google.com/spreadsheets/d/1XL5vhW3sbDhbH9Cz0tuDiY8C3ctxq1tqvaCgkFb8cCA/edit?usp=sharing"",""สุรินทร์!J141"")"),0)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IFERROR(__xludf.DUMMYFUNCTION("IMPORTRANGE(""https://docs.google.com/spreadsheets/d/1XL5vhW3sbDhbH9Cz0tuDiY8C3ctxq1tqvaCgkFb8cCA/edit?usp=sharing"",""สุรินทร์!J142"")"),0)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IFERROR(__xludf.DUMMYFUNCTION("IMPORTRANGE(""https://docs.google.com/spreadsheets/d/1XL5vhW3sbDhbH9Cz0tuDiY8C3ctxq1tqvaCgkFb8cCA/edit?usp=sharing"",""สุรินทร์!J143"")"),0)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IFERROR(__xludf.DUMMYFUNCTION("IMPORTRANGE(""https://docs.google.com/spreadsheets/d/1XL5vhW3sbDhbH9Cz0tuDiY8C3ctxq1tqvaCgkFb8cCA/edit?usp=sharing"",""สุรินทร์!I144"")"),14)</f>
        <v>14</v>
      </c>
      <c r="J219" s="267">
        <f ca="1">IFERROR(__xludf.DUMMYFUNCTION("IMPORTRANGE(""https://docs.google.com/spreadsheets/d/1XL5vhW3sbDhbH9Cz0tuDiY8C3ctxq1tqvaCgkFb8cCA/edit?usp=sharing"",""สุรินทร์!J144"")"),14)</f>
        <v>14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54" t="s">
        <v>17</v>
      </c>
      <c r="E220" s="555"/>
      <c r="F220" s="555"/>
      <c r="G220" s="555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52" t="s">
        <v>20</v>
      </c>
      <c r="E223" s="553"/>
      <c r="F223" s="55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537">
        <f ca="1">IFERROR(__xludf.DUMMYFUNCTION("IMPORTRANGE(""https://docs.google.com/spreadsheets/d/1Yj_ptqi66GCucihVvJfMjLAmec39IyEx_6qawtMGysU/edit?usp=sharing"",""สบก!BS52"")"),20210)</f>
        <v>20210</v>
      </c>
      <c r="N224" s="538">
        <f ca="1">IFERROR(__xludf.DUMMYFUNCTION("IMPORTRANGE(""https://docs.google.com/spreadsheets/d/1Yj_ptqi66GCucihVvJfMjLAmec39IyEx_6qawtMGysU/edit?usp=sharing"",""สบก!BT52"")"),20210)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537">
        <f ca="1">IFERROR(__xludf.DUMMYFUNCTION("IMPORTRANGE(""https://docs.google.com/spreadsheets/d/1Yj_ptqi66GCucihVvJfMjLAmec39IyEx_6qawtMGysU/edit?usp=sharing"",""สบก!BO52"")"),0)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537">
        <f ca="1">IFERROR(__xludf.DUMMYFUNCTION("IMPORTRANGE(""https://docs.google.com/spreadsheets/d/1Yj_ptqi66GCucihVvJfMjLAmec39IyEx_6qawtMGysU/edit?usp=sharing"",""สบก!BP52"")"),20210)</f>
        <v>20210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52" t="s">
        <v>23</v>
      </c>
      <c r="E227" s="553"/>
      <c r="F227" s="89"/>
      <c r="G227" s="82" t="s">
        <v>18</v>
      </c>
      <c r="H227" s="172" t="s">
        <v>12</v>
      </c>
      <c r="I227" s="201"/>
      <c r="J227" s="201"/>
      <c r="K227" s="290"/>
      <c r="L227" s="535">
        <v>0</v>
      </c>
      <c r="M227" s="535"/>
      <c r="N227" s="41"/>
      <c r="O227" s="535"/>
      <c r="P227" s="535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533">
        <f ca="1">IFERROR(__xludf.DUMMYFUNCTION("IMPORTRANGE(""https://docs.google.com/spreadsheets/d/1Yj_ptqi66GCucihVvJfMjLAmec39IyEx_6qawtMGysU/edit?usp=sharing"",""สบก!BQ52"")"),0)</f>
        <v>0</v>
      </c>
      <c r="M228" s="536"/>
      <c r="N228" s="533">
        <f ca="1">IFERROR(__xludf.DUMMYFUNCTION("IMPORTRANGE(""https://docs.google.com/spreadsheets/d/1Yj_ptqi66GCucihVvJfMjLAmec39IyEx_6qawtMGysU/edit?usp=sharing"",""สบก!BU52"")"),0)</f>
        <v>0</v>
      </c>
      <c r="O228" s="536">
        <f ca="1">IF(L228&gt;0,N228*100/L228,0)</f>
        <v>0</v>
      </c>
      <c r="P228" s="536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IFERROR(__xludf.DUMMYFUNCTION("IMPORTRANGE(""https://docs.google.com/spreadsheets/d/1XL5vhW3sbDhbH9Cz0tuDiY8C3ctxq1tqvaCgkFb8cCA/edit?usp=sharing"",""สุรินทร์!I149"")"),14)</f>
        <v>14</v>
      </c>
      <c r="J229" s="267">
        <f ca="1">IFERROR(__xludf.DUMMYFUNCTION("IMPORTRANGE(""https://docs.google.com/spreadsheets/d/1XL5vhW3sbDhbH9Cz0tuDiY8C3ctxq1tqvaCgkFb8cCA/edit?usp=sharing"",""สุรินทร์!J149"")"),14)</f>
        <v>14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IFERROR(__xludf.DUMMYFUNCTION("IMPORTRANGE(""https://docs.google.com/spreadsheets/d/1XL5vhW3sbDhbH9Cz0tuDiY8C3ctxq1tqvaCgkFb8cCA/edit?usp=sharing"",""สุรินทร์!J151"")"),0)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IFERROR(__xludf.DUMMYFUNCTION("IMPORTRANGE(""https://docs.google.com/spreadsheets/d/1XL5vhW3sbDhbH9Cz0tuDiY8C3ctxq1tqvaCgkFb8cCA/edit?usp=sharing"",""สุรินทร์!J152"")"),1)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IFERROR(__xludf.DUMMYFUNCTION("IMPORTRANGE(""https://docs.google.com/spreadsheets/d/1XL5vhW3sbDhbH9Cz0tuDiY8C3ctxq1tqvaCgkFb8cCA/edit?usp=sharing"",""สุรินทร์!J153"")"),1)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IFERROR(__xludf.DUMMYFUNCTION("IMPORTRANGE(""https://docs.google.com/spreadsheets/d/1XL5vhW3sbDhbH9Cz0tuDiY8C3ctxq1tqvaCgkFb8cCA/edit?usp=sharing"",""สุรินทร์!J154"")"),1)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IFERROR(__xludf.DUMMYFUNCTION("IMPORTRANGE(""https://docs.google.com/spreadsheets/d/1XL5vhW3sbDhbH9Cz0tuDiY8C3ctxq1tqvaCgkFb8cCA/edit?usp=sharing"",""สุรินทร์!I155"")"),14)</f>
        <v>14</v>
      </c>
      <c r="J235" s="189">
        <f ca="1">IFERROR(__xludf.DUMMYFUNCTION("IMPORTRANGE(""https://docs.google.com/spreadsheets/d/1XL5vhW3sbDhbH9Cz0tuDiY8C3ctxq1tqvaCgkFb8cCA/edit?usp=sharing"",""สุรินทร์!J155"")"),14)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IFERROR(__xludf.DUMMYFUNCTION("IMPORTRANGE(""https://docs.google.com/spreadsheets/d/1XL5vhW3sbDhbH9Cz0tuDiY8C3ctxq1tqvaCgkFb8cCA/edit?usp=sharing"",""สุรินทร์!J156"")"),0)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IFERROR(__xludf.DUMMYFUNCTION("IMPORTRANGE(""https://docs.google.com/spreadsheets/d/1XL5vhW3sbDhbH9Cz0tuDiY8C3ctxq1tqvaCgkFb8cCA/edit?usp=sharing"",""สุรินทร์!J157"")"),0)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IFERROR(__xludf.DUMMYFUNCTION("IMPORTRANGE(""https://docs.google.com/spreadsheets/d/1XL5vhW3sbDhbH9Cz0tuDiY8C3ctxq1tqvaCgkFb8cCA/edit?usp=sharing"",""สุรินทร์!I158"")"),0)</f>
        <v>0</v>
      </c>
      <c r="J238" s="267">
        <f ca="1">IFERROR(__xludf.DUMMYFUNCTION("IMPORTRANGE(""https://docs.google.com/spreadsheets/d/1XL5vhW3sbDhbH9Cz0tuDiY8C3ctxq1tqvaCgkFb8cCA/edit?usp=sharing"",""สุรินทร์!J158"")"),0)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IFERROR(__xludf.DUMMYFUNCTION("IMPORTRANGE(""https://docs.google.com/spreadsheets/d/1XL5vhW3sbDhbH9Cz0tuDiY8C3ctxq1tqvaCgkFb8cCA/edit?usp=sharing"",""สุรินทร์!J159"")"),"")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IFERROR(__xludf.DUMMYFUNCTION("IMPORTRANGE(""https://docs.google.com/spreadsheets/d/1XL5vhW3sbDhbH9Cz0tuDiY8C3ctxq1tqvaCgkFb8cCA/edit?usp=sharing"",""สุรินทร์!J161"")"),0)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IFERROR(__xludf.DUMMYFUNCTION("IMPORTRANGE(""https://docs.google.com/spreadsheets/d/1XL5vhW3sbDhbH9Cz0tuDiY8C3ctxq1tqvaCgkFb8cCA/edit?usp=sharing"",""สุรินทร์!J162"")"),0)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IFERROR(__xludf.DUMMYFUNCTION("IMPORTRANGE(""https://docs.google.com/spreadsheets/d/1XL5vhW3sbDhbH9Cz0tuDiY8C3ctxq1tqvaCgkFb8cCA/edit?usp=sharing"",""สุรินทร์!J163"")"),0)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IFERROR(__xludf.DUMMYFUNCTION("IMPORTRANGE(""https://docs.google.com/spreadsheets/d/1XL5vhW3sbDhbH9Cz0tuDiY8C3ctxq1tqvaCgkFb8cCA/edit?usp=sharing"",""สุรินทร์!I164"")"),0)</f>
        <v>0</v>
      </c>
      <c r="J244" s="188">
        <f ca="1">IFERROR(__xludf.DUMMYFUNCTION("IMPORTRANGE(""https://docs.google.com/spreadsheets/d/1XL5vhW3sbDhbH9Cz0tuDiY8C3ctxq1tqvaCgkFb8cCA/edit?usp=sharing"",""สุรินทร์!J164"")"),0)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IFERROR(__xludf.DUMMYFUNCTION("IMPORTRANGE(""https://docs.google.com/spreadsheets/d/1XL5vhW3sbDhbH9Cz0tuDiY8C3ctxq1tqvaCgkFb8cCA/edit?usp=sharing"",""สุรินทร์!J165"")"),0)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IFERROR(__xludf.DUMMYFUNCTION("IMPORTRANGE(""https://docs.google.com/spreadsheets/d/1XL5vhW3sbDhbH9Cz0tuDiY8C3ctxq1tqvaCgkFb8cCA/edit?usp=sharing"",""สุรินทร์!J166"")"),0)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IFERROR(__xludf.DUMMYFUNCTION("IMPORTRANGE(""https://docs.google.com/spreadsheets/d/1XL5vhW3sbDhbH9Cz0tuDiY8C3ctxq1tqvaCgkFb8cCA/edit?usp=sharing"",""สุรินทร์!I169"")"),0)</f>
        <v>0</v>
      </c>
      <c r="J249" s="316">
        <f ca="1">IFERROR(__xludf.DUMMYFUNCTION("IMPORTRANGE(""https://docs.google.com/spreadsheets/d/1XL5vhW3sbDhbH9Cz0tuDiY8C3ctxq1tqvaCgkFb8cCA/edit?usp=sharing"",""สุรินทร์!J169"")"),0)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54" t="s">
        <v>17</v>
      </c>
      <c r="E250" s="555"/>
      <c r="F250" s="555"/>
      <c r="G250" s="55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52" t="s">
        <v>20</v>
      </c>
      <c r="E253" s="553"/>
      <c r="F253" s="55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537">
        <f ca="1">IFERROR(__xludf.DUMMYFUNCTION("IMPORTRANGE(""https://docs.google.com/spreadsheets/d/1Yj_ptqi66GCucihVvJfMjLAmec39IyEx_6qawtMGysU/edit?usp=sharing"",""สบก!CB52"")"),0)</f>
        <v>0</v>
      </c>
      <c r="N254" s="538">
        <f ca="1">IFERROR(__xludf.DUMMYFUNCTION("IMPORTRANGE(""https://docs.google.com/spreadsheets/d/1Yj_ptqi66GCucihVvJfMjLAmec39IyEx_6qawtMGysU/edit?usp=sharing"",""สบก!CC52"")"),0)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537">
        <f ca="1">IFERROR(__xludf.DUMMYFUNCTION("IMPORTRANGE(""https://docs.google.com/spreadsheets/d/1Yj_ptqi66GCucihVvJfMjLAmec39IyEx_6qawtMGysU/edit?usp=sharing"",""สบก!BX52"")"),0)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537">
        <f ca="1">IFERROR(__xludf.DUMMYFUNCTION("IMPORTRANGE(""https://docs.google.com/spreadsheets/d/1Yj_ptqi66GCucihVvJfMjLAmec39IyEx_6qawtMGysU/edit?usp=sharing"",""สบก!BY52"")"),0)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52" t="s">
        <v>23</v>
      </c>
      <c r="E257" s="553"/>
      <c r="F257" s="89"/>
      <c r="G257" s="82" t="s">
        <v>18</v>
      </c>
      <c r="H257" s="172" t="s">
        <v>12</v>
      </c>
      <c r="I257" s="162"/>
      <c r="J257" s="162"/>
      <c r="K257" s="163"/>
      <c r="L257" s="535">
        <v>0</v>
      </c>
      <c r="M257" s="535"/>
      <c r="N257" s="41"/>
      <c r="O257" s="535"/>
      <c r="P257" s="535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533">
        <f ca="1">IFERROR(__xludf.DUMMYFUNCTION("IMPORTRANGE(""https://docs.google.com/spreadsheets/d/1Yj_ptqi66GCucihVvJfMjLAmec39IyEx_6qawtMGysU/edit?usp=sharing"",""สบก!BZ52"")"),0)</f>
        <v>0</v>
      </c>
      <c r="M258" s="536"/>
      <c r="N258" s="533">
        <f ca="1">IFERROR(__xludf.DUMMYFUNCTION("IMPORTRANGE(""https://docs.google.com/spreadsheets/d/1Yj_ptqi66GCucihVvJfMjLAmec39IyEx_6qawtMGysU/edit?usp=sharing"",""สบก!CD52"")"),0)</f>
        <v>0</v>
      </c>
      <c r="O258" s="536">
        <f ca="1">IF(L258&gt;0,N258*100/L258,0)</f>
        <v>0</v>
      </c>
      <c r="P258" s="536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IFERROR(__xludf.DUMMYFUNCTION("IMPORTRANGE(""https://docs.google.com/spreadsheets/d/1XL5vhW3sbDhbH9Cz0tuDiY8C3ctxq1tqvaCgkFb8cCA/edit?usp=sharing"",""สุรินทร์!J175"")"),0)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IFERROR(__xludf.DUMMYFUNCTION("IMPORTRANGE(""https://docs.google.com/spreadsheets/d/1XL5vhW3sbDhbH9Cz0tuDiY8C3ctxq1tqvaCgkFb8cCA/edit?usp=sharing"",""สุรินทร์!J176"")"),0)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IFERROR(__xludf.DUMMYFUNCTION("IMPORTRANGE(""https://docs.google.com/spreadsheets/d/1XL5vhW3sbDhbH9Cz0tuDiY8C3ctxq1tqvaCgkFb8cCA/edit?usp=sharing"",""สุรินทร์!J177"")"),0)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IFERROR(__xludf.DUMMYFUNCTION("IMPORTRANGE(""https://docs.google.com/spreadsheets/d/1XL5vhW3sbDhbH9Cz0tuDiY8C3ctxq1tqvaCgkFb8cCA/edit?usp=sharing"",""สุรินทร์!J178"")"),0)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IFERROR(__xludf.DUMMYFUNCTION("IMPORTRANGE(""https://docs.google.com/spreadsheets/d/1XL5vhW3sbDhbH9Cz0tuDiY8C3ctxq1tqvaCgkFb8cCA/edit?usp=sharing"",""สุรินทร์!I179"")"),0)</f>
        <v>0</v>
      </c>
      <c r="J264" s="189">
        <f ca="1">IFERROR(__xludf.DUMMYFUNCTION("IMPORTRANGE(""https://docs.google.com/spreadsheets/d/1XL5vhW3sbDhbH9Cz0tuDiY8C3ctxq1tqvaCgkFb8cCA/edit?usp=sharing"",""สุรินทร์!J179"")"),0)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IFERROR(__xludf.DUMMYFUNCTION("IMPORTRANGE(""https://docs.google.com/spreadsheets/d/1XL5vhW3sbDhbH9Cz0tuDiY8C3ctxq1tqvaCgkFb8cCA/edit?usp=sharing"",""สุรินทร์!I180"")"),0)</f>
        <v>0</v>
      </c>
      <c r="J265" s="189">
        <f ca="1">IFERROR(__xludf.DUMMYFUNCTION("IMPORTRANGE(""https://docs.google.com/spreadsheets/d/1XL5vhW3sbDhbH9Cz0tuDiY8C3ctxq1tqvaCgkFb8cCA/edit?usp=sharing"",""สุรินทร์!J180"")"),0)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IFERROR(__xludf.DUMMYFUNCTION("IMPORTRANGE(""https://docs.google.com/spreadsheets/d/1XL5vhW3sbDhbH9Cz0tuDiY8C3ctxq1tqvaCgkFb8cCA/edit?usp=sharing"",""สุรินทร์!I181"")"),0)</f>
        <v>0</v>
      </c>
      <c r="J266" s="189">
        <f ca="1">IFERROR(__xludf.DUMMYFUNCTION("IMPORTRANGE(""https://docs.google.com/spreadsheets/d/1XL5vhW3sbDhbH9Cz0tuDiY8C3ctxq1tqvaCgkFb8cCA/edit?usp=sharing"",""สุรินทร์!J181"")"),0)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IFERROR(__xludf.DUMMYFUNCTION("IMPORTRANGE(""https://docs.google.com/spreadsheets/d/1XL5vhW3sbDhbH9Cz0tuDiY8C3ctxq1tqvaCgkFb8cCA/edit?usp=sharing"",""สุรินทร์!I182"")"),0)</f>
        <v>0</v>
      </c>
      <c r="J267" s="189">
        <f ca="1">IFERROR(__xludf.DUMMYFUNCTION("IMPORTRANGE(""https://docs.google.com/spreadsheets/d/1XL5vhW3sbDhbH9Cz0tuDiY8C3ctxq1tqvaCgkFb8cCA/edit?usp=sharing"",""สุรินทร์!J182"")"),0)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IFERROR(__xludf.DUMMYFUNCTION("IMPORTRANGE(""https://docs.google.com/spreadsheets/d/1XL5vhW3sbDhbH9Cz0tuDiY8C3ctxq1tqvaCgkFb8cCA/edit?usp=sharing"",""สุรินทร์!J183"")"),0)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IFERROR(__xludf.DUMMYFUNCTION("IMPORTRANGE(""https://docs.google.com/spreadsheets/d/1XL5vhW3sbDhbH9Cz0tuDiY8C3ctxq1tqvaCgkFb8cCA/edit?usp=sharing"",""สุรินทร์!J184"")"),0)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IFERROR(__xludf.DUMMYFUNCTION("IMPORTRANGE(""https://docs.google.com/spreadsheets/d/1XL5vhW3sbDhbH9Cz0tuDiY8C3ctxq1tqvaCgkFb8cCA/edit?usp=sharing"",""สุรินทร์!I185"")"),15)</f>
        <v>15</v>
      </c>
      <c r="J270" s="316">
        <f ca="1">IFERROR(__xludf.DUMMYFUNCTION("IMPORTRANGE(""https://docs.google.com/spreadsheets/d/1XL5vhW3sbDhbH9Cz0tuDiY8C3ctxq1tqvaCgkFb8cCA/edit?usp=sharing"",""สุรินทร์!J185"")"),15)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54" t="s">
        <v>17</v>
      </c>
      <c r="E271" s="555"/>
      <c r="F271" s="555"/>
      <c r="G271" s="555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32170</v>
      </c>
      <c r="O271" s="151">
        <f t="shared" ref="O271:O273" ca="1" si="84">IF(L271&gt;0,N271*100/L271,0)</f>
        <v>58.278985507246375</v>
      </c>
      <c r="P271" s="151">
        <f t="shared" ref="P271:P273" ca="1" si="85">IF(M271&gt;0,N271*100/M271,0)</f>
        <v>99.751937984496124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32170</v>
      </c>
      <c r="O273" s="156">
        <f t="shared" ca="1" si="84"/>
        <v>58.278985507246375</v>
      </c>
      <c r="P273" s="156">
        <f t="shared" ca="1" si="85"/>
        <v>99.751937984496124</v>
      </c>
    </row>
    <row r="274" spans="1:16" ht="21.75" customHeight="1" x14ac:dyDescent="0.45">
      <c r="A274" s="158"/>
      <c r="B274" s="159"/>
      <c r="C274" s="159" t="s">
        <v>16</v>
      </c>
      <c r="D274" s="552" t="s">
        <v>20</v>
      </c>
      <c r="E274" s="553"/>
      <c r="F274" s="55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537">
        <f ca="1">IFERROR(__xludf.DUMMYFUNCTION("IMPORTRANGE(""https://docs.google.com/spreadsheets/d/1Yj_ptqi66GCucihVvJfMjLAmec39IyEx_6qawtMGysU/edit?usp=sharing"",""สบก!CK52"")"),32250)</f>
        <v>32250</v>
      </c>
      <c r="N275" s="538">
        <f ca="1">IFERROR(__xludf.DUMMYFUNCTION("IMPORTRANGE(""https://docs.google.com/spreadsheets/d/1Yj_ptqi66GCucihVvJfMjLAmec39IyEx_6qawtMGysU/edit?usp=sharing"",""สบก!CL52"")"),32170)</f>
        <v>32170</v>
      </c>
      <c r="O275" s="169">
        <f ca="1">IF(L275&gt;0,N275*100/L275,0)</f>
        <v>58.278985507246375</v>
      </c>
      <c r="P275" s="169">
        <f ca="1">IF(M275&gt;0,N275*100/M275,0)</f>
        <v>99.751937984496124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537">
        <f ca="1">IFERROR(__xludf.DUMMYFUNCTION("IMPORTRANGE(""https://docs.google.com/spreadsheets/d/1Yj_ptqi66GCucihVvJfMjLAmec39IyEx_6qawtMGysU/edit?usp=sharing"",""สบก!CG52"")"),0)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537">
        <f ca="1">IFERROR(__xludf.DUMMYFUNCTION("IMPORTRANGE(""https://docs.google.com/spreadsheets/d/1Yj_ptqi66GCucihVvJfMjLAmec39IyEx_6qawtMGysU/edit?usp=sharing"",""สบก!CH52"")"),55200)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52" t="s">
        <v>23</v>
      </c>
      <c r="E278" s="553"/>
      <c r="F278" s="89"/>
      <c r="G278" s="82" t="s">
        <v>18</v>
      </c>
      <c r="H278" s="172" t="s">
        <v>12</v>
      </c>
      <c r="I278" s="162"/>
      <c r="J278" s="162"/>
      <c r="K278" s="163"/>
      <c r="L278" s="535">
        <v>0</v>
      </c>
      <c r="M278" s="535"/>
      <c r="N278" s="41"/>
      <c r="O278" s="535"/>
      <c r="P278" s="535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533">
        <f ca="1">IFERROR(__xludf.DUMMYFUNCTION("IMPORTRANGE(""https://docs.google.com/spreadsheets/d/1Yj_ptqi66GCucihVvJfMjLAmec39IyEx_6qawtMGysU/edit?usp=sharing"",""สบก!CI52"")"),0)</f>
        <v>0</v>
      </c>
      <c r="M279" s="536"/>
      <c r="N279" s="533">
        <f ca="1">IFERROR(__xludf.DUMMYFUNCTION("IMPORTRANGE(""https://docs.google.com/spreadsheets/d/1Yj_ptqi66GCucihVvJfMjLAmec39IyEx_6qawtMGysU/edit?usp=sharing"",""สบก!CM52"")"),0)</f>
        <v>0</v>
      </c>
      <c r="O279" s="536">
        <f ca="1">IF(L279&gt;0,N279*100/L279,0)</f>
        <v>0</v>
      </c>
      <c r="P279" s="536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IFERROR(__xludf.DUMMYFUNCTION("IMPORTRANGE(""https://docs.google.com/spreadsheets/d/1XL5vhW3sbDhbH9Cz0tuDiY8C3ctxq1tqvaCgkFb8cCA/edit?usp=sharing"",""สุรินทร์!J191"")"),0)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IFERROR(__xludf.DUMMYFUNCTION("IMPORTRANGE(""https://docs.google.com/spreadsheets/d/1XL5vhW3sbDhbH9Cz0tuDiY8C3ctxq1tqvaCgkFb8cCA/edit?usp=sharing"",""สุรินทร์!J192"")"),1)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IFERROR(__xludf.DUMMYFUNCTION("IMPORTRANGE(""https://docs.google.com/spreadsheets/d/1XL5vhW3sbDhbH9Cz0tuDiY8C3ctxq1tqvaCgkFb8cCA/edit?usp=sharing"",""สุรินทร์!J193"")"),1)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IFERROR(__xludf.DUMMYFUNCTION("IMPORTRANGE(""https://docs.google.com/spreadsheets/d/1XL5vhW3sbDhbH9Cz0tuDiY8C3ctxq1tqvaCgkFb8cCA/edit?usp=sharing"",""สุรินทร์!J194"")"),1)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IFERROR(__xludf.DUMMYFUNCTION("IMPORTRANGE(""https://docs.google.com/spreadsheets/d/1XL5vhW3sbDhbH9Cz0tuDiY8C3ctxq1tqvaCgkFb8cCA/edit?usp=sharing"",""สุรินทร์!I195"")"),15)</f>
        <v>15</v>
      </c>
      <c r="J285" s="189">
        <f ca="1">IFERROR(__xludf.DUMMYFUNCTION("IMPORTRANGE(""https://docs.google.com/spreadsheets/d/1XL5vhW3sbDhbH9Cz0tuDiY8C3ctxq1tqvaCgkFb8cCA/edit?usp=sharing"",""สุรินทร์!J195"")"),15)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IFERROR(__xludf.DUMMYFUNCTION("IMPORTRANGE(""https://docs.google.com/spreadsheets/d/1XL5vhW3sbDhbH9Cz0tuDiY8C3ctxq1tqvaCgkFb8cCA/edit?usp=sharing"",""สุรินทร์!J196"")"),0)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IFERROR(__xludf.DUMMYFUNCTION("IMPORTRANGE(""https://docs.google.com/spreadsheets/d/1XL5vhW3sbDhbH9Cz0tuDiY8C3ctxq1tqvaCgkFb8cCA/edit?usp=sharing"",""สุรินทร์!J197"")"),0)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IFERROR(__xludf.DUMMYFUNCTION("IMPORTRANGE(""https://docs.google.com/spreadsheets/d/1XL5vhW3sbDhbH9Cz0tuDiY8C3ctxq1tqvaCgkFb8cCA/edit?usp=sharing"",""สุรินทร์!I199"")"),0)</f>
        <v>0</v>
      </c>
      <c r="J289" s="316">
        <f ca="1">IFERROR(__xludf.DUMMYFUNCTION("IMPORTRANGE(""https://docs.google.com/spreadsheets/d/1XL5vhW3sbDhbH9Cz0tuDiY8C3ctxq1tqvaCgkFb8cCA/edit?usp=sharing"",""สุรินทร์!J199"")"),0)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54" t="s">
        <v>17</v>
      </c>
      <c r="E290" s="555"/>
      <c r="F290" s="555"/>
      <c r="G290" s="55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52" t="s">
        <v>20</v>
      </c>
      <c r="E293" s="553"/>
      <c r="F293" s="55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537">
        <f ca="1">IFERROR(__xludf.DUMMYFUNCTION("IMPORTRANGE(""https://docs.google.com/spreadsheets/d/1Yj_ptqi66GCucihVvJfMjLAmec39IyEx_6qawtMGysU/edit?usp=sharing"",""สบก!CT52"")"),0)</f>
        <v>0</v>
      </c>
      <c r="N294" s="538">
        <f ca="1">IFERROR(__xludf.DUMMYFUNCTION("IMPORTRANGE(""https://docs.google.com/spreadsheets/d/1Yj_ptqi66GCucihVvJfMjLAmec39IyEx_6qawtMGysU/edit?usp=sharing"",""สบก!CU52"")"),0)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537">
        <f ca="1">IFERROR(__xludf.DUMMYFUNCTION("IMPORTRANGE(""https://docs.google.com/spreadsheets/d/1Yj_ptqi66GCucihVvJfMjLAmec39IyEx_6qawtMGysU/edit?usp=sharing"",""สบก!CP52"")"),0)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537">
        <f ca="1">IFERROR(__xludf.DUMMYFUNCTION("IMPORTRANGE(""https://docs.google.com/spreadsheets/d/1Yj_ptqi66GCucihVvJfMjLAmec39IyEx_6qawtMGysU/edit?usp=sharing"",""สบก!CQ52"")"),0)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52" t="s">
        <v>23</v>
      </c>
      <c r="E297" s="553"/>
      <c r="F297" s="89"/>
      <c r="G297" s="82" t="s">
        <v>18</v>
      </c>
      <c r="H297" s="172" t="s">
        <v>12</v>
      </c>
      <c r="I297" s="188"/>
      <c r="J297" s="188"/>
      <c r="K297" s="224"/>
      <c r="L297" s="535">
        <v>0</v>
      </c>
      <c r="M297" s="535"/>
      <c r="N297" s="41"/>
      <c r="O297" s="535"/>
      <c r="P297" s="535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533">
        <f ca="1">IFERROR(__xludf.DUMMYFUNCTION("IMPORTRANGE(""https://docs.google.com/spreadsheets/d/1Yj_ptqi66GCucihVvJfMjLAmec39IyEx_6qawtMGysU/edit?usp=sharing"",""สบก!CR52"")"),0)</f>
        <v>0</v>
      </c>
      <c r="M298" s="536"/>
      <c r="N298" s="533">
        <f ca="1">IFERROR(__xludf.DUMMYFUNCTION("IMPORTRANGE(""https://docs.google.com/spreadsheets/d/1Yj_ptqi66GCucihVvJfMjLAmec39IyEx_6qawtMGysU/edit?usp=sharing"",""สบก!CV52"")"),0)</f>
        <v>0</v>
      </c>
      <c r="O298" s="536">
        <f ca="1">IF(L298&gt;0,N298*100/L298,0)</f>
        <v>0</v>
      </c>
      <c r="P298" s="536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IFERROR(__xludf.DUMMYFUNCTION("IMPORTRANGE(""https://docs.google.com/spreadsheets/d/1XL5vhW3sbDhbH9Cz0tuDiY8C3ctxq1tqvaCgkFb8cCA/edit?usp=sharing"",""สุรินทร์!J205"")"),0)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IFERROR(__xludf.DUMMYFUNCTION("IMPORTRANGE(""https://docs.google.com/spreadsheets/d/1XL5vhW3sbDhbH9Cz0tuDiY8C3ctxq1tqvaCgkFb8cCA/edit?usp=sharing"",""สุรินทร์!J206"")"),0)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IFERROR(__xludf.DUMMYFUNCTION("IMPORTRANGE(""https://docs.google.com/spreadsheets/d/1XL5vhW3sbDhbH9Cz0tuDiY8C3ctxq1tqvaCgkFb8cCA/edit?usp=sharing"",""สุรินทร์!J207"")"),0)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IFERROR(__xludf.DUMMYFUNCTION("IMPORTRANGE(""https://docs.google.com/spreadsheets/d/1XL5vhW3sbDhbH9Cz0tuDiY8C3ctxq1tqvaCgkFb8cCA/edit?usp=sharing"",""สุรินทร์!J208"")"),0)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IFERROR(__xludf.DUMMYFUNCTION("IMPORTRANGE(""https://docs.google.com/spreadsheets/d/1XL5vhW3sbDhbH9Cz0tuDiY8C3ctxq1tqvaCgkFb8cCA/edit?usp=sharing"",""สุรินทร์!I209"")"),0)</f>
        <v>0</v>
      </c>
      <c r="J304" s="204">
        <f ca="1">IFERROR(__xludf.DUMMYFUNCTION("IMPORTRANGE(""https://docs.google.com/spreadsheets/d/1XL5vhW3sbDhbH9Cz0tuDiY8C3ctxq1tqvaCgkFb8cCA/edit?usp=sharing"",""สุรินทร์!J209"")"),0)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IFERROR(__xludf.DUMMYFUNCTION("IMPORTRANGE(""https://docs.google.com/spreadsheets/d/1XL5vhW3sbDhbH9Cz0tuDiY8C3ctxq1tqvaCgkFb8cCA/edit?usp=sharing"",""สุรินทร์!I211"")"),0)</f>
        <v>0</v>
      </c>
      <c r="J306" s="204">
        <f ca="1">IFERROR(__xludf.DUMMYFUNCTION("IMPORTRANGE(""https://docs.google.com/spreadsheets/d/1XL5vhW3sbDhbH9Cz0tuDiY8C3ctxq1tqvaCgkFb8cCA/edit?usp=sharing"",""สุรินทร์!J211"")"),0)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IFERROR(__xludf.DUMMYFUNCTION("IMPORTRANGE(""https://docs.google.com/spreadsheets/d/1XL5vhW3sbDhbH9Cz0tuDiY8C3ctxq1tqvaCgkFb8cCA/edit?usp=sharing"",""สุรินทร์!J212"")"),0)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IFERROR(__xludf.DUMMYFUNCTION("IMPORTRANGE(""https://docs.google.com/spreadsheets/d/1XL5vhW3sbDhbH9Cz0tuDiY8C3ctxq1tqvaCgkFb8cCA/edit?usp=sharing"",""สุรินทร์!J213"")"),0)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IFERROR(__xludf.DUMMYFUNCTION("IMPORTRANGE(""https://docs.google.com/spreadsheets/d/1XL5vhW3sbDhbH9Cz0tuDiY8C3ctxq1tqvaCgkFb8cCA/edit?usp=sharing"",""สุรินทร์!I214"")"),0)</f>
        <v>0</v>
      </c>
      <c r="J309" s="333">
        <f ca="1">IFERROR(__xludf.DUMMYFUNCTION("IMPORTRANGE(""https://docs.google.com/spreadsheets/d/1XL5vhW3sbDhbH9Cz0tuDiY8C3ctxq1tqvaCgkFb8cCA/edit?usp=sharing"",""สุรินทร์!J214"")"),0)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54" t="s">
        <v>17</v>
      </c>
      <c r="E310" s="555"/>
      <c r="F310" s="555"/>
      <c r="G310" s="55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52" t="s">
        <v>20</v>
      </c>
      <c r="E313" s="553"/>
      <c r="F313" s="55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537">
        <f ca="1">IFERROR(__xludf.DUMMYFUNCTION("IMPORTRANGE(""https://docs.google.com/spreadsheets/d/1Yj_ptqi66GCucihVvJfMjLAmec39IyEx_6qawtMGysU/edit?usp=sharing"",""สบก!DC52"")"),0)</f>
        <v>0</v>
      </c>
      <c r="N314" s="538">
        <f ca="1">IFERROR(__xludf.DUMMYFUNCTION("IMPORTRANGE(""https://docs.google.com/spreadsheets/d/1Yj_ptqi66GCucihVvJfMjLAmec39IyEx_6qawtMGysU/edit?usp=sharing"",""สบก!DD52"")"),0)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537">
        <f ca="1">IFERROR(__xludf.DUMMYFUNCTION("IMPORTRANGE(""https://docs.google.com/spreadsheets/d/1Yj_ptqi66GCucihVvJfMjLAmec39IyEx_6qawtMGysU/edit?usp=sharing"",""สบก!CY52"")"),0)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537">
        <f ca="1">IFERROR(__xludf.DUMMYFUNCTION("IMPORTRANGE(""https://docs.google.com/spreadsheets/d/1Yj_ptqi66GCucihVvJfMjLAmec39IyEx_6qawtMGysU/edit?usp=sharing"",""สบก!CZ52"")"),0)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52" t="s">
        <v>23</v>
      </c>
      <c r="E317" s="553"/>
      <c r="F317" s="89"/>
      <c r="G317" s="82" t="s">
        <v>18</v>
      </c>
      <c r="H317" s="172" t="s">
        <v>12</v>
      </c>
      <c r="I317" s="162"/>
      <c r="J317" s="188"/>
      <c r="K317" s="224"/>
      <c r="L317" s="535">
        <v>0</v>
      </c>
      <c r="M317" s="535"/>
      <c r="N317" s="41"/>
      <c r="O317" s="535"/>
      <c r="P317" s="535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533">
        <f ca="1">IFERROR(__xludf.DUMMYFUNCTION("IMPORTRANGE(""https://docs.google.com/spreadsheets/d/1Yj_ptqi66GCucihVvJfMjLAmec39IyEx_6qawtMGysU/edit?usp=sharing"",""สบก!DA52"")"),0)</f>
        <v>0</v>
      </c>
      <c r="M318" s="536"/>
      <c r="N318" s="533">
        <f ca="1">IFERROR(__xludf.DUMMYFUNCTION("IMPORTRANGE(""https://docs.google.com/spreadsheets/d/1Yj_ptqi66GCucihVvJfMjLAmec39IyEx_6qawtMGysU/edit?usp=sharing"",""สบก!DE52"")"),0)</f>
        <v>0</v>
      </c>
      <c r="O318" s="536">
        <f ca="1">IF(L318&gt;0,N318*100/L318,0)</f>
        <v>0</v>
      </c>
      <c r="P318" s="536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IFERROR(__xludf.DUMMYFUNCTION("IMPORTRANGE(""https://docs.google.com/spreadsheets/d/1XL5vhW3sbDhbH9Cz0tuDiY8C3ctxq1tqvaCgkFb8cCA/edit?usp=sharing"",""สุรินทร์!J220"")"),0)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IFERROR(__xludf.DUMMYFUNCTION("IMPORTRANGE(""https://docs.google.com/spreadsheets/d/1XL5vhW3sbDhbH9Cz0tuDiY8C3ctxq1tqvaCgkFb8cCA/edit?usp=sharing"",""สุรินทร์!J221"")"),0)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IFERROR(__xludf.DUMMYFUNCTION("IMPORTRANGE(""https://docs.google.com/spreadsheets/d/1XL5vhW3sbDhbH9Cz0tuDiY8C3ctxq1tqvaCgkFb8cCA/edit?usp=sharing"",""สุรินทร์!J222"")"),0)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IFERROR(__xludf.DUMMYFUNCTION("IMPORTRANGE(""https://docs.google.com/spreadsheets/d/1XL5vhW3sbDhbH9Cz0tuDiY8C3ctxq1tqvaCgkFb8cCA/edit?usp=sharing"",""สุรินทร์!J223"")"),0)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IFERROR(__xludf.DUMMYFUNCTION("IMPORTRANGE(""https://docs.google.com/spreadsheets/d/1XL5vhW3sbDhbH9Cz0tuDiY8C3ctxq1tqvaCgkFb8cCA/edit?usp=sharing"",""สุรินทร์!I224"")"),0)</f>
        <v>0</v>
      </c>
      <c r="J324" s="204">
        <f ca="1">IFERROR(__xludf.DUMMYFUNCTION("IMPORTRANGE(""https://docs.google.com/spreadsheets/d/1XL5vhW3sbDhbH9Cz0tuDiY8C3ctxq1tqvaCgkFb8cCA/edit?usp=sharing"",""สุรินทร์!J224"")"),0)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IFERROR(__xludf.DUMMYFUNCTION("IMPORTRANGE(""https://docs.google.com/spreadsheets/d/1XL5vhW3sbDhbH9Cz0tuDiY8C3ctxq1tqvaCgkFb8cCA/edit?usp=sharing"",""สุรินทร์!J225"")"),0)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IFERROR(__xludf.DUMMYFUNCTION("IMPORTRANGE(""https://docs.google.com/spreadsheets/d/1XL5vhW3sbDhbH9Cz0tuDiY8C3ctxq1tqvaCgkFb8cCA/edit?usp=sharing"",""สุรินทร์!J226"")"),0)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IFERROR(__xludf.DUMMYFUNCTION("IMPORTRANGE(""https://docs.google.com/spreadsheets/d/1XL5vhW3sbDhbH9Cz0tuDiY8C3ctxq1tqvaCgkFb8cCA/edit?usp=sharing"",""สุรินทร์!I228"")"),740)</f>
        <v>740</v>
      </c>
      <c r="J328" s="339">
        <f ca="1">IFERROR(__xludf.DUMMYFUNCTION("IMPORTRANGE(""https://docs.google.com/spreadsheets/d/1XL5vhW3sbDhbH9Cz0tuDiY8C3ctxq1tqvaCgkFb8cCA/edit?usp=sharing"",""สุรินทร์!J228"")"),559)</f>
        <v>559</v>
      </c>
      <c r="K328" s="317">
        <f ca="1">IF(I328&gt;0,J328*100/I328,0)</f>
        <v>75.540540540540547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54" t="s">
        <v>17</v>
      </c>
      <c r="E329" s="555"/>
      <c r="F329" s="555"/>
      <c r="G329" s="555"/>
      <c r="H329" s="149" t="s">
        <v>12</v>
      </c>
      <c r="I329" s="162"/>
      <c r="J329" s="162"/>
      <c r="K329" s="163"/>
      <c r="L329" s="152">
        <f t="shared" ref="L329:N329" ca="1" si="98">L330+L331</f>
        <v>1939500</v>
      </c>
      <c r="M329" s="152">
        <f t="shared" ca="1" si="98"/>
        <v>1379360</v>
      </c>
      <c r="N329" s="152">
        <f t="shared" ca="1" si="98"/>
        <v>1099998.05</v>
      </c>
      <c r="O329" s="151">
        <f t="shared" ref="O329:O331" ca="1" si="99">IF(L329&gt;0,N329*100/L329,0)</f>
        <v>56.715547821603508</v>
      </c>
      <c r="P329" s="151">
        <f t="shared" ref="P329:P331" ca="1" si="100">IF(M329&gt;0,N329*100/M329,0)</f>
        <v>79.7469877334416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1939500</v>
      </c>
      <c r="M331" s="157">
        <f t="shared" ca="1" si="102"/>
        <v>1379360</v>
      </c>
      <c r="N331" s="157">
        <f t="shared" ca="1" si="102"/>
        <v>1099998.05</v>
      </c>
      <c r="O331" s="156">
        <f t="shared" ca="1" si="99"/>
        <v>56.715547821603508</v>
      </c>
      <c r="P331" s="156">
        <f t="shared" ca="1" si="100"/>
        <v>79.7469877334416</v>
      </c>
    </row>
    <row r="332" spans="1:16" ht="21.75" customHeight="1" x14ac:dyDescent="0.45">
      <c r="A332" s="158"/>
      <c r="B332" s="159"/>
      <c r="C332" s="159" t="s">
        <v>16</v>
      </c>
      <c r="D332" s="552" t="s">
        <v>20</v>
      </c>
      <c r="E332" s="553"/>
      <c r="F332" s="55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1902210</v>
      </c>
      <c r="M333" s="537">
        <f ca="1">IFERROR(__xludf.DUMMYFUNCTION("IMPORTRANGE(""https://docs.google.com/spreadsheets/d/1Yj_ptqi66GCucihVvJfMjLAmec39IyEx_6qawtMGysU/edit?usp=sharing"",""สบก!DL52"")"),1342070)</f>
        <v>1342070</v>
      </c>
      <c r="N333" s="538">
        <f ca="1">IFERROR(__xludf.DUMMYFUNCTION("IMPORTRANGE(""https://docs.google.com/spreadsheets/d/1Yj_ptqi66GCucihVvJfMjLAmec39IyEx_6qawtMGysU/edit?usp=sharing"",""สบก!DM52"")"),1062708.05)</f>
        <v>1062708.05</v>
      </c>
      <c r="O333" s="169">
        <f ca="1">IF(L333&gt;0,N333*100/L333,0)</f>
        <v>55.86702046566888</v>
      </c>
      <c r="P333" s="169">
        <f ca="1">IF(M333&gt;0,N333*100/M333,0)</f>
        <v>79.184248958698134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537">
        <f ca="1">IFERROR(__xludf.DUMMYFUNCTION("IMPORTRANGE(""https://docs.google.com/spreadsheets/d/1Yj_ptqi66GCucihVvJfMjLAmec39IyEx_6qawtMGysU/edit?usp=sharing"",""สบก!DH52"")"),759500)</f>
        <v>759500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537">
        <f ca="1">IFERROR(__xludf.DUMMYFUNCTION("IMPORTRANGE(""https://docs.google.com/spreadsheets/d/1Yj_ptqi66GCucihVvJfMjLAmec39IyEx_6qawtMGysU/edit?usp=sharing"",""สบก!DI52"")"),1142710)</f>
        <v>1142710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52" t="s">
        <v>23</v>
      </c>
      <c r="E336" s="553"/>
      <c r="F336" s="89"/>
      <c r="G336" s="82" t="s">
        <v>18</v>
      </c>
      <c r="H336" s="172" t="s">
        <v>12</v>
      </c>
      <c r="I336" s="162"/>
      <c r="J336" s="162"/>
      <c r="K336" s="163"/>
      <c r="L336" s="535">
        <v>0</v>
      </c>
      <c r="M336" s="535"/>
      <c r="N336" s="41"/>
      <c r="O336" s="535"/>
      <c r="P336" s="535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533">
        <f ca="1">IFERROR(__xludf.DUMMYFUNCTION("IMPORTRANGE(""https://docs.google.com/spreadsheets/d/1Yj_ptqi66GCucihVvJfMjLAmec39IyEx_6qawtMGysU/edit?usp=sharing"",""สบก!DJ52"")"),37290)</f>
        <v>37290</v>
      </c>
      <c r="M337" s="536">
        <f ca="1">L337</f>
        <v>37290</v>
      </c>
      <c r="N337" s="533">
        <f ca="1">IFERROR(__xludf.DUMMYFUNCTION("IMPORTRANGE(""https://docs.google.com/spreadsheets/d/1Yj_ptqi66GCucihVvJfMjLAmec39IyEx_6qawtMGysU/edit?usp=sharing"",""สบก!DN52"")"),37290)</f>
        <v>37290</v>
      </c>
      <c r="O337" s="536">
        <f ca="1">IF(L337&gt;0,N337*100/L337,0)</f>
        <v>100</v>
      </c>
      <c r="P337" s="536">
        <f ca="1">IF(M337&gt;0,N337*100/M337,0)</f>
        <v>100</v>
      </c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IFERROR(__xludf.DUMMYFUNCTION("IMPORTRANGE(""https://docs.google.com/spreadsheets/d/1XL5vhW3sbDhbH9Cz0tuDiY8C3ctxq1tqvaCgkFb8cCA/edit?usp=sharing"",""สุรินทร์!I234"")"),0)</f>
        <v>0</v>
      </c>
      <c r="J339" s="188">
        <f ca="1">IFERROR(__xludf.DUMMYFUNCTION("IMPORTRANGE(""https://docs.google.com/spreadsheets/d/1XL5vhW3sbDhbH9Cz0tuDiY8C3ctxq1tqvaCgkFb8cCA/edit?usp=sharing"",""สุรินทร์!J234"")"),404)</f>
        <v>404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IFERROR(__xludf.DUMMYFUNCTION("IMPORTRANGE(""https://docs.google.com/spreadsheets/d/1XL5vhW3sbDhbH9Cz0tuDiY8C3ctxq1tqvaCgkFb8cCA/edit?usp=sharing"",""สุรินทร์!I235"")"),5800)</f>
        <v>5800</v>
      </c>
      <c r="J340" s="188">
        <f ca="1">IFERROR(__xludf.DUMMYFUNCTION("IMPORTRANGE(""https://docs.google.com/spreadsheets/d/1XL5vhW3sbDhbH9Cz0tuDiY8C3ctxq1tqvaCgkFb8cCA/edit?usp=sharing"",""สุรินทร์!J235"")"),2730.01999999999)</f>
        <v>2730.01999999999</v>
      </c>
      <c r="K340" s="342">
        <f t="shared" ca="1" si="103"/>
        <v>47.069310344827414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IFERROR(__xludf.DUMMYFUNCTION("IMPORTRANGE(""https://docs.google.com/spreadsheets/d/1XL5vhW3sbDhbH9Cz0tuDiY8C3ctxq1tqvaCgkFb8cCA/edit?usp=sharing"",""สุรินทร์!I236"")"),740)</f>
        <v>740</v>
      </c>
      <c r="J341" s="188">
        <f ca="1">IFERROR(__xludf.DUMMYFUNCTION("IMPORTRANGE(""https://docs.google.com/spreadsheets/d/1XL5vhW3sbDhbH9Cz0tuDiY8C3ctxq1tqvaCgkFb8cCA/edit?usp=sharing"",""สุรินทร์!J236"")"),566)</f>
        <v>566</v>
      </c>
      <c r="K341" s="342">
        <f t="shared" ca="1" si="103"/>
        <v>76.486486486486484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IFERROR(__xludf.DUMMYFUNCTION("IMPORTRANGE(""https://docs.google.com/spreadsheets/d/1XL5vhW3sbDhbH9Cz0tuDiY8C3ctxq1tqvaCgkFb8cCA/edit?usp=sharing"",""สุรินทร์!I237"")"),0)</f>
        <v>0</v>
      </c>
      <c r="J342" s="188">
        <f ca="1">IFERROR(__xludf.DUMMYFUNCTION("IMPORTRANGE(""https://docs.google.com/spreadsheets/d/1XL5vhW3sbDhbH9Cz0tuDiY8C3ctxq1tqvaCgkFb8cCA/edit?usp=sharing"",""สุรินทร์!J237"")"),4313.63999999999)</f>
        <v>4313.6399999999903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IFERROR(__xludf.DUMMYFUNCTION("IMPORTRANGE(""https://docs.google.com/spreadsheets/d/1XL5vhW3sbDhbH9Cz0tuDiY8C3ctxq1tqvaCgkFb8cCA/edit?usp=sharing"",""สุรินทร์!I238"")"),740)</f>
        <v>740</v>
      </c>
      <c r="J343" s="188">
        <f ca="1">IFERROR(__xludf.DUMMYFUNCTION("IMPORTRANGE(""https://docs.google.com/spreadsheets/d/1XL5vhW3sbDhbH9Cz0tuDiY8C3ctxq1tqvaCgkFb8cCA/edit?usp=sharing"",""สุรินทร์!J238"")"),3)</f>
        <v>3</v>
      </c>
      <c r="K343" s="342">
        <f t="shared" ca="1" si="103"/>
        <v>0.40540540540540543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IFERROR(__xludf.DUMMYFUNCTION("IMPORTRANGE(""https://docs.google.com/spreadsheets/d/1XL5vhW3sbDhbH9Cz0tuDiY8C3ctxq1tqvaCgkFb8cCA/edit?usp=sharing"",""สุรินทร์!I239"")"),0)</f>
        <v>0</v>
      </c>
      <c r="J344" s="188">
        <f ca="1">IFERROR(__xludf.DUMMYFUNCTION("IMPORTRANGE(""https://docs.google.com/spreadsheets/d/1XL5vhW3sbDhbH9Cz0tuDiY8C3ctxq1tqvaCgkFb8cCA/edit?usp=sharing"",""สุรินทร์!J239"")"),11.55)</f>
        <v>11.55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IFERROR(__xludf.DUMMYFUNCTION("IMPORTRANGE(""https://docs.google.com/spreadsheets/d/1XL5vhW3sbDhbH9Cz0tuDiY8C3ctxq1tqvaCgkFb8cCA/edit?usp=sharing"",""สุรินทร์!I240"")"),740)</f>
        <v>740</v>
      </c>
      <c r="J345" s="188">
        <f ca="1">IFERROR(__xludf.DUMMYFUNCTION("IMPORTRANGE(""https://docs.google.com/spreadsheets/d/1XL5vhW3sbDhbH9Cz0tuDiY8C3ctxq1tqvaCgkFb8cCA/edit?usp=sharing"",""สุรินทร์!J240"")"),559)</f>
        <v>559</v>
      </c>
      <c r="K345" s="342">
        <f t="shared" ca="1" si="103"/>
        <v>75.540540540540547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IFERROR(__xludf.DUMMYFUNCTION("IMPORTRANGE(""https://docs.google.com/spreadsheets/d/1XL5vhW3sbDhbH9Cz0tuDiY8C3ctxq1tqvaCgkFb8cCA/edit?usp=sharing"",""สุรินทร์!I241"")"),0)</f>
        <v>0</v>
      </c>
      <c r="J346" s="188">
        <f ca="1">IFERROR(__xludf.DUMMYFUNCTION("IMPORTRANGE(""https://docs.google.com/spreadsheets/d/1XL5vhW3sbDhbH9Cz0tuDiY8C3ctxq1tqvaCgkFb8cCA/edit?usp=sharing"",""สุรินทร์!J241"")"),4174.35)</f>
        <v>4174.3500000000004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IFERROR(__xludf.DUMMYFUNCTION("IMPORTRANGE(""https://docs.google.com/spreadsheets/d/1XL5vhW3sbDhbH9Cz0tuDiY8C3ctxq1tqvaCgkFb8cCA/edit?usp=sharing"",""สุรินทร์!L242"")"),2846291)</f>
        <v>2846291</v>
      </c>
      <c r="M347" s="358"/>
      <c r="N347" s="358">
        <f ca="1">IFERROR(__xludf.DUMMYFUNCTION("IMPORTRANGE(""https://docs.google.com/spreadsheets/d/1XL5vhW3sbDhbH9Cz0tuDiY8C3ctxq1tqvaCgkFb8cCA/edit?usp=sharing"",""สุรินทร์!M242"")"),984176.87)</f>
        <v>984176.87</v>
      </c>
      <c r="O347" s="358">
        <f ca="1">+IF(L347&gt;0,N347*100/L347,0)</f>
        <v>34.577521061620196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IFERROR(__xludf.DUMMYFUNCTION("IMPORTRANGE(""https://docs.google.com/spreadsheets/d/1XL5vhW3sbDhbH9Cz0tuDiY8C3ctxq1tqvaCgkFb8cCA/edit?usp=sharing"",""สุรินทร์!I244"")"),150)</f>
        <v>150</v>
      </c>
      <c r="J349" s="371">
        <f ca="1">IFERROR(__xludf.DUMMYFUNCTION("IMPORTRANGE(""https://docs.google.com/spreadsheets/d/1XL5vhW3sbDhbH9Cz0tuDiY8C3ctxq1tqvaCgkFb8cCA/edit?usp=sharing"",""สุรินทร์!J244"")"),0)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IFERROR(__xludf.DUMMYFUNCTION("IMPORTRANGE(""https://docs.google.com/spreadsheets/d/1XL5vhW3sbDhbH9Cz0tuDiY8C3ctxq1tqvaCgkFb8cCA/edit?usp=sharing"",""สุรินทร์!L244"")"),195420)</f>
        <v>195420</v>
      </c>
      <c r="M349" s="373"/>
      <c r="N349" s="373">
        <f ca="1">IFERROR(__xludf.DUMMYFUNCTION("IMPORTRANGE(""https://docs.google.com/spreadsheets/d/1XL5vhW3sbDhbH9Cz0tuDiY8C3ctxq1tqvaCgkFb8cCA/edit?usp=sharing"",""สุรินทร์!M244"")"),18408)</f>
        <v>18408</v>
      </c>
      <c r="O349" s="373">
        <f ca="1">+IF(L349&gt;0,N349*100/L349,0)</f>
        <v>9.419711390850475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IFERROR(__xludf.DUMMYFUNCTION("IMPORTRANGE(""https://docs.google.com/spreadsheets/d/1XL5vhW3sbDhbH9Cz0tuDiY8C3ctxq1tqvaCgkFb8cCA/edit?usp=sharing"",""สุรินทร์!I245"")"),15)</f>
        <v>15</v>
      </c>
      <c r="J350" s="371">
        <f ca="1">IFERROR(__xludf.DUMMYFUNCTION("IMPORTRANGE(""https://docs.google.com/spreadsheets/d/1XL5vhW3sbDhbH9Cz0tuDiY8C3ctxq1tqvaCgkFb8cCA/edit?usp=sharing"",""สุรินทร์!J245"")"),15)</f>
        <v>15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IFERROR(__xludf.DUMMYFUNCTION("IMPORTRANGE(""https://docs.google.com/spreadsheets/d/1XL5vhW3sbDhbH9Cz0tuDiY8C3ctxq1tqvaCgkFb8cCA/edit?usp=sharing"",""สุรินทร์!L246"")"),0)</f>
        <v>0</v>
      </c>
      <c r="M351" s="164"/>
      <c r="N351" s="164">
        <f ca="1">IFERROR(__xludf.DUMMYFUNCTION("IMPORTRANGE(""https://docs.google.com/spreadsheets/d/1XL5vhW3sbDhbH9Cz0tuDiY8C3ctxq1tqvaCgkFb8cCA/edit?usp=sharing"",""สุรินทร์!M246"")"),0)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IFERROR(__xludf.DUMMYFUNCTION("IMPORTRANGE(""https://docs.google.com/spreadsheets/d/1XL5vhW3sbDhbH9Cz0tuDiY8C3ctxq1tqvaCgkFb8cCA/edit?usp=sharing"",""สุรินทร์!L247"")"),195420)</f>
        <v>195420</v>
      </c>
      <c r="M352" s="165"/>
      <c r="N352" s="164">
        <f ca="1">IFERROR(__xludf.DUMMYFUNCTION("IMPORTRANGE(""https://docs.google.com/spreadsheets/d/1XL5vhW3sbDhbH9Cz0tuDiY8C3ctxq1tqvaCgkFb8cCA/edit?usp=sharing"",""สุรินทร์!M247"")"),18408)</f>
        <v>18408</v>
      </c>
      <c r="O352" s="165">
        <f t="shared" ca="1" si="105"/>
        <v>9.419711390850475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IFERROR(__xludf.DUMMYFUNCTION("IMPORTRANGE(""https://docs.google.com/spreadsheets/d/1XL5vhW3sbDhbH9Cz0tuDiY8C3ctxq1tqvaCgkFb8cCA/edit?usp=sharing"",""สุรินทร์!L248"")"),0)</f>
        <v>0</v>
      </c>
      <c r="M353" s="169"/>
      <c r="N353" s="169">
        <f ca="1">IFERROR(__xludf.DUMMYFUNCTION("IMPORTRANGE(""https://docs.google.com/spreadsheets/d/1XL5vhW3sbDhbH9Cz0tuDiY8C3ctxq1tqvaCgkFb8cCA/edit?usp=sharing"",""สุรินทร์!M248"")"),0)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IFERROR(__xludf.DUMMYFUNCTION("IMPORTRANGE(""https://docs.google.com/spreadsheets/d/1XL5vhW3sbDhbH9Cz0tuDiY8C3ctxq1tqvaCgkFb8cCA/edit?usp=sharing"",""สุรินทร์!L249"")"),195420)</f>
        <v>195420</v>
      </c>
      <c r="M354" s="169"/>
      <c r="N354" s="168">
        <f ca="1">IFERROR(__xludf.DUMMYFUNCTION("IMPORTRANGE(""https://docs.google.com/spreadsheets/d/1XL5vhW3sbDhbH9Cz0tuDiY8C3ctxq1tqvaCgkFb8cCA/edit?usp=sharing"",""สุรินทร์!M249"")"),18408)</f>
        <v>18408</v>
      </c>
      <c r="O354" s="169">
        <f t="shared" ca="1" si="105"/>
        <v>9.419711390850475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IFERROR(__xludf.DUMMYFUNCTION("IMPORTRANGE(""https://docs.google.com/spreadsheets/d/1XL5vhW3sbDhbH9Cz0tuDiY8C3ctxq1tqvaCgkFb8cCA/edit?usp=sharing"",""สุรินทร์!M250"")"),18408)</f>
        <v>18408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IFERROR(__xludf.DUMMYFUNCTION("IMPORTRANGE(""https://docs.google.com/spreadsheets/d/1XL5vhW3sbDhbH9Cz0tuDiY8C3ctxq1tqvaCgkFb8cCA/edit?usp=sharing"",""สุรินทร์!M251"")"),0)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IFERROR(__xludf.DUMMYFUNCTION("IMPORTRANGE(""https://docs.google.com/spreadsheets/d/1XL5vhW3sbDhbH9Cz0tuDiY8C3ctxq1tqvaCgkFb8cCA/edit?usp=sharing"",""สุรินทร์!M252"")"),0)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IFERROR(__xludf.DUMMYFUNCTION("IMPORTRANGE(""https://docs.google.com/spreadsheets/d/1XL5vhW3sbDhbH9Cz0tuDiY8C3ctxq1tqvaCgkFb8cCA/edit?usp=sharing"",""สุรินทร์!M253"")"),0)</f>
        <v>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IFERROR(__xludf.DUMMYFUNCTION("IMPORTRANGE(""https://docs.google.com/spreadsheets/d/1XL5vhW3sbDhbH9Cz0tuDiY8C3ctxq1tqvaCgkFb8cCA/edit?usp=sharing"",""สุรินทร์!J255"")"),0)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IFERROR(__xludf.DUMMYFUNCTION("IMPORTRANGE(""https://docs.google.com/spreadsheets/d/1XL5vhW3sbDhbH9Cz0tuDiY8C3ctxq1tqvaCgkFb8cCA/edit?usp=sharing"",""สุรินทร์!J256"")"),1)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IFERROR(__xludf.DUMMYFUNCTION("IMPORTRANGE(""https://docs.google.com/spreadsheets/d/1XL5vhW3sbDhbH9Cz0tuDiY8C3ctxq1tqvaCgkFb8cCA/edit?usp=sharing"",""สุรินทร์!J257"")"),1)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IFERROR(__xludf.DUMMYFUNCTION("IMPORTRANGE(""https://docs.google.com/spreadsheets/d/1XL5vhW3sbDhbH9Cz0tuDiY8C3ctxq1tqvaCgkFb8cCA/edit?usp=sharing"",""สุรินทร์!J258"")"),0)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IFERROR(__xludf.DUMMYFUNCTION("IMPORTRANGE(""https://docs.google.com/spreadsheets/d/1XL5vhW3sbDhbH9Cz0tuDiY8C3ctxq1tqvaCgkFb8cCA/edit?usp=sharing"",""สุรินทร์!J166"")"),0)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IFERROR(__xludf.DUMMYFUNCTION("IMPORTRANGE(""https://docs.google.com/spreadsheets/d/1XL5vhW3sbDhbH9Cz0tuDiY8C3ctxq1tqvaCgkFb8cCA/edit?usp=sharing"",""สุรินทร์!J166"")"),0)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IFERROR(__xludf.DUMMYFUNCTION("IMPORTRANGE(""https://docs.google.com/spreadsheets/d/1XL5vhW3sbDhbH9Cz0tuDiY8C3ctxq1tqvaCgkFb8cCA/edit?usp=sharing"",""สุรินทร์!J166"")"),0)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IFERROR(__xludf.DUMMYFUNCTION("IMPORTRANGE(""https://docs.google.com/spreadsheets/d/1XL5vhW3sbDhbH9Cz0tuDiY8C3ctxq1tqvaCgkFb8cCA/edit?usp=sharing"",""สุรินทร์!J166"")"),0)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IFERROR(__xludf.DUMMYFUNCTION("IMPORTRANGE(""https://docs.google.com/spreadsheets/d/1XL5vhW3sbDhbH9Cz0tuDiY8C3ctxq1tqvaCgkFb8cCA/edit?usp=sharing"",""สุรินทร์!I263"")"),15)</f>
        <v>15</v>
      </c>
      <c r="J368" s="188">
        <f ca="1">IFERROR(__xludf.DUMMYFUNCTION("IMPORTRANGE(""https://docs.google.com/spreadsheets/d/1XL5vhW3sbDhbH9Cz0tuDiY8C3ctxq1tqvaCgkFb8cCA/edit?usp=sharing"",""สุรินทร์!J263"")"),15)</f>
        <v>15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IFERROR(__xludf.DUMMYFUNCTION("IMPORTRANGE(""https://docs.google.com/spreadsheets/d/1XL5vhW3sbDhbH9Cz0tuDiY8C3ctxq1tqvaCgkFb8cCA/edit?usp=sharing"",""สุรินทร์!I164"")"),0)</f>
        <v>0</v>
      </c>
      <c r="J369" s="204">
        <f ca="1">IFERROR(__xludf.DUMMYFUNCTION("IMPORTRANGE(""https://docs.google.com/spreadsheets/d/1XL5vhW3sbDhbH9Cz0tuDiY8C3ctxq1tqvaCgkFb8cCA/edit?usp=sharing"",""สุรินทร์!J164"")"),0)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293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IFERROR(__xludf.DUMMYFUNCTION("IMPORTRANGE(""https://docs.google.com/spreadsheets/d/1XL5vhW3sbDhbH9Cz0tuDiY8C3ctxq1tqvaCgkFb8cCA/edit?usp=sharing"",""สุรินทร์!I265"")"),15)</f>
        <v>15</v>
      </c>
      <c r="J370" s="204">
        <f ca="1">IFERROR(__xludf.DUMMYFUNCTION("IMPORTRANGE(""https://docs.google.com/spreadsheets/d/1XL5vhW3sbDhbH9Cz0tuDiY8C3ctxq1tqvaCgkFb8cCA/edit?usp=sharing"",""สุรินทร์!J265"")"),0)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IFERROR(__xludf.DUMMYFUNCTION("IMPORTRANGE(""https://docs.google.com/spreadsheets/d/1XL5vhW3sbDhbH9Cz0tuDiY8C3ctxq1tqvaCgkFb8cCA/edit?usp=sharing"",""สุรินทร์!I164"")"),0)</f>
        <v>0</v>
      </c>
      <c r="J371" s="189">
        <f ca="1">IFERROR(__xludf.DUMMYFUNCTION("IMPORTRANGE(""https://docs.google.com/spreadsheets/d/1XL5vhW3sbDhbH9Cz0tuDiY8C3ctxq1tqvaCgkFb8cCA/edit?usp=sharing"",""สุรินทร์!J164"")"),0)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293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IFERROR(__xludf.DUMMYFUNCTION("IMPORTRANGE(""https://docs.google.com/spreadsheets/d/1XL5vhW3sbDhbH9Cz0tuDiY8C3ctxq1tqvaCgkFb8cCA/edit?usp=sharing"",""สุรินทร์!I267"")"),15)</f>
        <v>15</v>
      </c>
      <c r="J372" s="189">
        <f ca="1">IFERROR(__xludf.DUMMYFUNCTION("IMPORTRANGE(""https://docs.google.com/spreadsheets/d/1XL5vhW3sbDhbH9Cz0tuDiY8C3ctxq1tqvaCgkFb8cCA/edit?usp=sharing"",""สุรินทร์!J267"")"),15)</f>
        <v>15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IFERROR(__xludf.DUMMYFUNCTION("IMPORTRANGE(""https://docs.google.com/spreadsheets/d/1XL5vhW3sbDhbH9Cz0tuDiY8C3ctxq1tqvaCgkFb8cCA/edit?usp=sharing"",""สุรินทร์!I164"")"),0)</f>
        <v>0</v>
      </c>
      <c r="J373" s="204">
        <f ca="1">IFERROR(__xludf.DUMMYFUNCTION("IMPORTRANGE(""https://docs.google.com/spreadsheets/d/1XL5vhW3sbDhbH9Cz0tuDiY8C3ctxq1tqvaCgkFb8cCA/edit?usp=sharing"",""สุรินทร์!J164"")"),0)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IFERROR(__xludf.DUMMYFUNCTION("IMPORTRANGE(""https://docs.google.com/spreadsheets/d/1XL5vhW3sbDhbH9Cz0tuDiY8C3ctxq1tqvaCgkFb8cCA/edit?usp=sharing"",""สุรินทร์!I164"")"),0)</f>
        <v>0</v>
      </c>
      <c r="J374" s="188">
        <f ca="1">IFERROR(__xludf.DUMMYFUNCTION("IMPORTRANGE(""https://docs.google.com/spreadsheets/d/1XL5vhW3sbDhbH9Cz0tuDiY8C3ctxq1tqvaCgkFb8cCA/edit?usp=sharing"",""สุรินทร์!J164"")"),0)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IFERROR(__xludf.DUMMYFUNCTION("IMPORTRANGE(""https://docs.google.com/spreadsheets/d/1XL5vhW3sbDhbH9Cz0tuDiY8C3ctxq1tqvaCgkFb8cCA/edit?usp=sharing"",""สุรินทร์!I270"")"),150)</f>
        <v>150</v>
      </c>
      <c r="J375" s="188">
        <f ca="1">IFERROR(__xludf.DUMMYFUNCTION("IMPORTRANGE(""https://docs.google.com/spreadsheets/d/1XL5vhW3sbDhbH9Cz0tuDiY8C3ctxq1tqvaCgkFb8cCA/edit?usp=sharing"",""สุรินทร์!J270"")"),0)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IFERROR(__xludf.DUMMYFUNCTION("IMPORTRANGE(""https://docs.google.com/spreadsheets/d/1XL5vhW3sbDhbH9Cz0tuDiY8C3ctxq1tqvaCgkFb8cCA/edit?usp=sharing"",""สุรินทร์!I271"")"),150)</f>
        <v>150</v>
      </c>
      <c r="J376" s="189">
        <f ca="1">IFERROR(__xludf.DUMMYFUNCTION("IMPORTRANGE(""https://docs.google.com/spreadsheets/d/1XL5vhW3sbDhbH9Cz0tuDiY8C3ctxq1tqvaCgkFb8cCA/edit?usp=sharing"",""สุรินทร์!J271"")"),0)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IFERROR(__xludf.DUMMYFUNCTION("IMPORTRANGE(""https://docs.google.com/spreadsheets/d/1XL5vhW3sbDhbH9Cz0tuDiY8C3ctxq1tqvaCgkFb8cCA/edit?usp=sharing"",""สุรินทร์!I272"")"),0)</f>
        <v>0</v>
      </c>
      <c r="J377" s="204">
        <f ca="1">IFERROR(__xludf.DUMMYFUNCTION("IMPORTRANGE(""https://docs.google.com/spreadsheets/d/1XL5vhW3sbDhbH9Cz0tuDiY8C3ctxq1tqvaCgkFb8cCA/edit?usp=sharing"",""สุรินทร์!J272"")"),0)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IFERROR(__xludf.DUMMYFUNCTION("IMPORTRANGE(""https://docs.google.com/spreadsheets/d/1XL5vhW3sbDhbH9Cz0tuDiY8C3ctxq1tqvaCgkFb8cCA/edit?usp=sharing"",""สุรินทร์!J273"")"),0)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IFERROR(__xludf.DUMMYFUNCTION("IMPORTRANGE(""https://docs.google.com/spreadsheets/d/1XL5vhW3sbDhbH9Cz0tuDiY8C3ctxq1tqvaCgkFb8cCA/edit?usp=sharing"",""สุรินทร์!J274"")"),0)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IFERROR(__xludf.DUMMYFUNCTION("IMPORTRANGE(""https://docs.google.com/spreadsheets/d/1XL5vhW3sbDhbH9Cz0tuDiY8C3ctxq1tqvaCgkFb8cCA/edit?usp=sharing"",""สุรินทร์!I275"")"),1000)</f>
        <v>1000</v>
      </c>
      <c r="J380" s="371">
        <f ca="1">IFERROR(__xludf.DUMMYFUNCTION("IMPORTRANGE(""https://docs.google.com/spreadsheets/d/1XL5vhW3sbDhbH9Cz0tuDiY8C3ctxq1tqvaCgkFb8cCA/edit?usp=sharing"",""สุรินทร์!J275"")"),0)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IFERROR(__xludf.DUMMYFUNCTION("IMPORTRANGE(""https://docs.google.com/spreadsheets/d/1XL5vhW3sbDhbH9Cz0tuDiY8C3ctxq1tqvaCgkFb8cCA/edit?usp=sharing"",""สุรินทร์!L275"")"),1028520)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IFERROR(__xludf.DUMMYFUNCTION("IMPORTRANGE(""https://docs.google.com/spreadsheets/d/1XL5vhW3sbDhbH9Cz0tuDiY8C3ctxq1tqvaCgkFb8cCA/edit?usp=sharing"",""สุรินทร์!M275"")"),245625)</f>
        <v>245625</v>
      </c>
      <c r="O380" s="373">
        <f ca="1">+IF(L380&gt;0,N380*100/L380,0)</f>
        <v>23.881402403453507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IFERROR(__xludf.DUMMYFUNCTION("IMPORTRANGE(""https://docs.google.com/spreadsheets/d/1XL5vhW3sbDhbH9Cz0tuDiY8C3ctxq1tqvaCgkFb8cCA/edit?usp=sharing"",""สุรินทร์!I276"")"),100)</f>
        <v>100</v>
      </c>
      <c r="J381" s="371">
        <f ca="1">IFERROR(__xludf.DUMMYFUNCTION("IMPORTRANGE(""https://docs.google.com/spreadsheets/d/1XL5vhW3sbDhbH9Cz0tuDiY8C3ctxq1tqvaCgkFb8cCA/edit?usp=sharing"",""สุรินทร์!J276"")"),100)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IFERROR(__xludf.DUMMYFUNCTION("IMPORTRANGE(""https://docs.google.com/spreadsheets/d/1XL5vhW3sbDhbH9Cz0tuDiY8C3ctxq1tqvaCgkFb8cCA/edit?usp=sharing"",""สุรินทร์!L277"")"),0)</f>
        <v>0</v>
      </c>
      <c r="M382" s="164"/>
      <c r="N382" s="164">
        <f ca="1">IFERROR(__xludf.DUMMYFUNCTION("IMPORTRANGE(""https://docs.google.com/spreadsheets/d/1XL5vhW3sbDhbH9Cz0tuDiY8C3ctxq1tqvaCgkFb8cCA/edit?usp=sharing"",""สุรินทร์!M277"")"),0)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IFERROR(__xludf.DUMMYFUNCTION("IMPORTRANGE(""https://docs.google.com/spreadsheets/d/1XL5vhW3sbDhbH9Cz0tuDiY8C3ctxq1tqvaCgkFb8cCA/edit?usp=sharing"",""สุรินทร์!L278"")"),1028520)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IFERROR(__xludf.DUMMYFUNCTION("IMPORTRANGE(""https://docs.google.com/spreadsheets/d/1XL5vhW3sbDhbH9Cz0tuDiY8C3ctxq1tqvaCgkFb8cCA/edit?usp=sharing"",""สุรินทร์!M278"")"),245625)</f>
        <v>245625</v>
      </c>
      <c r="O383" s="165">
        <f t="shared" ca="1" si="109"/>
        <v>23.881402403453507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IFERROR(__xludf.DUMMYFUNCTION("IMPORTRANGE(""https://docs.google.com/spreadsheets/d/1XL5vhW3sbDhbH9Cz0tuDiY8C3ctxq1tqvaCgkFb8cCA/edit?usp=sharing"",""สุรินทร์!L279"")"),0)</f>
        <v>0</v>
      </c>
      <c r="M384" s="169"/>
      <c r="N384" s="169">
        <f ca="1">IFERROR(__xludf.DUMMYFUNCTION("IMPORTRANGE(""https://docs.google.com/spreadsheets/d/1XL5vhW3sbDhbH9Cz0tuDiY8C3ctxq1tqvaCgkFb8cCA/edit?usp=sharing"",""สุรินทร์!M279"")"),0)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IFERROR(__xludf.DUMMYFUNCTION("IMPORTRANGE(""https://docs.google.com/spreadsheets/d/1XL5vhW3sbDhbH9Cz0tuDiY8C3ctxq1tqvaCgkFb8cCA/edit?usp=sharing"",""สุรินทร์!L280"")"),1028520)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IFERROR(__xludf.DUMMYFUNCTION("IMPORTRANGE(""https://docs.google.com/spreadsheets/d/1XL5vhW3sbDhbH9Cz0tuDiY8C3ctxq1tqvaCgkFb8cCA/edit?usp=sharing"",""สุรินทร์!M280"")"),245625)</f>
        <v>245625</v>
      </c>
      <c r="O385" s="169">
        <f t="shared" ca="1" si="109"/>
        <v>23.881402403453507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IFERROR(__xludf.DUMMYFUNCTION("IMPORTRANGE(""https://docs.google.com/spreadsheets/d/1XL5vhW3sbDhbH9Cz0tuDiY8C3ctxq1tqvaCgkFb8cCA/edit?usp=sharing"",""สุรินทร์!M281"")"),179405)</f>
        <v>179405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IFERROR(__xludf.DUMMYFUNCTION("IMPORTRANGE(""https://docs.google.com/spreadsheets/d/1XL5vhW3sbDhbH9Cz0tuDiY8C3ctxq1tqvaCgkFb8cCA/edit?usp=sharing"",""สุรินทร์!M282"")"),0)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IFERROR(__xludf.DUMMYFUNCTION("IMPORTRANGE(""https://docs.google.com/spreadsheets/d/1XL5vhW3sbDhbH9Cz0tuDiY8C3ctxq1tqvaCgkFb8cCA/edit?usp=sharing"",""สุรินทร์!M283"")"),41870)</f>
        <v>41870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IFERROR(__xludf.DUMMYFUNCTION("IMPORTRANGE(""https://docs.google.com/spreadsheets/d/1XL5vhW3sbDhbH9Cz0tuDiY8C3ctxq1tqvaCgkFb8cCA/edit?usp=sharing"",""สุรินทร์!M284"")"),24350)</f>
        <v>24350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IFERROR(__xludf.DUMMYFUNCTION("IMPORTRANGE(""https://docs.google.com/spreadsheets/d/1XL5vhW3sbDhbH9Cz0tuDiY8C3ctxq1tqvaCgkFb8cCA/edit?usp=sharing"",""สุรินทร์!J286"")"),0)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IFERROR(__xludf.DUMMYFUNCTION("IMPORTRANGE(""https://docs.google.com/spreadsheets/d/1XL5vhW3sbDhbH9Cz0tuDiY8C3ctxq1tqvaCgkFb8cCA/edit?usp=sharing"",""สุรินทร์!J287"")"),1)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IFERROR(__xludf.DUMMYFUNCTION("IMPORTRANGE(""https://docs.google.com/spreadsheets/d/1XL5vhW3sbDhbH9Cz0tuDiY8C3ctxq1tqvaCgkFb8cCA/edit?usp=sharing"",""สุรินทร์!J288"")"),1)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IFERROR(__xludf.DUMMYFUNCTION("IMPORTRANGE(""https://docs.google.com/spreadsheets/d/1XL5vhW3sbDhbH9Cz0tuDiY8C3ctxq1tqvaCgkFb8cCA/edit?usp=sharing"",""สุรินทร์!J289"")"),1)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IFERROR(__xludf.DUMMYFUNCTION("IMPORTRANGE(""https://docs.google.com/spreadsheets/d/1XL5vhW3sbDhbH9Cz0tuDiY8C3ctxq1tqvaCgkFb8cCA/edit?usp=sharing"",""สุรินทร์!I291"")"),100)</f>
        <v>100</v>
      </c>
      <c r="J396" s="198">
        <f ca="1">IFERROR(__xludf.DUMMYFUNCTION("IMPORTRANGE(""https://docs.google.com/spreadsheets/d/1XL5vhW3sbDhbH9Cz0tuDiY8C3ctxq1tqvaCgkFb8cCA/edit?usp=sharing"",""สุรินทร์!J291"")"),100)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IFERROR(__xludf.DUMMYFUNCTION("IMPORTRANGE(""https://docs.google.com/spreadsheets/d/1XL5vhW3sbDhbH9Cz0tuDiY8C3ctxq1tqvaCgkFb8cCA/edit?usp=sharing"",""สุรินทร์!I292"")"),1000)</f>
        <v>1000</v>
      </c>
      <c r="J397" s="198">
        <f ca="1">IFERROR(__xludf.DUMMYFUNCTION("IMPORTRANGE(""https://docs.google.com/spreadsheets/d/1XL5vhW3sbDhbH9Cz0tuDiY8C3ctxq1tqvaCgkFb8cCA/edit?usp=sharing"",""สุรินทร์!J292"")"),0)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IFERROR(__xludf.DUMMYFUNCTION("IMPORTRANGE(""https://docs.google.com/spreadsheets/d/1XL5vhW3sbDhbH9Cz0tuDiY8C3ctxq1tqvaCgkFb8cCA/edit?usp=sharing"",""สุรินทร์!I293"")"),100)</f>
        <v>100</v>
      </c>
      <c r="J398" s="198">
        <f ca="1">IFERROR(__xludf.DUMMYFUNCTION("IMPORTRANGE(""https://docs.google.com/spreadsheets/d/1XL5vhW3sbDhbH9Cz0tuDiY8C3ctxq1tqvaCgkFb8cCA/edit?usp=sharing"",""สุรินทร์!J293"")"),0)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IFERROR(__xludf.DUMMYFUNCTION("IMPORTRANGE(""https://docs.google.com/spreadsheets/d/1XL5vhW3sbDhbH9Cz0tuDiY8C3ctxq1tqvaCgkFb8cCA/edit?usp=sharing"",""สุรินทร์!J294"")"),0)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IFERROR(__xludf.DUMMYFUNCTION("IMPORTRANGE(""https://docs.google.com/spreadsheets/d/1XL5vhW3sbDhbH9Cz0tuDiY8C3ctxq1tqvaCgkFb8cCA/edit?usp=sharing"",""สุรินทร์!J295"")"),0)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IFERROR(__xludf.DUMMYFUNCTION("IMPORTRANGE(""https://docs.google.com/spreadsheets/d/1XL5vhW3sbDhbH9Cz0tuDiY8C3ctxq1tqvaCgkFb8cCA/edit?usp=sharing"",""สุรินทร์!I296"")"),135)</f>
        <v>135</v>
      </c>
      <c r="J401" s="371">
        <f ca="1">IFERROR(__xludf.DUMMYFUNCTION("IMPORTRANGE(""https://docs.google.com/spreadsheets/d/1XL5vhW3sbDhbH9Cz0tuDiY8C3ctxq1tqvaCgkFb8cCA/edit?usp=sharing"",""สุรินทร์!J296"")"),135)</f>
        <v>135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IFERROR(__xludf.DUMMYFUNCTION("IMPORTRANGE(""https://docs.google.com/spreadsheets/d/1XL5vhW3sbDhbH9Cz0tuDiY8C3ctxq1tqvaCgkFb8cCA/edit?usp=sharing"",""สุรินทร์!L296"")"),159950)</f>
        <v>159950</v>
      </c>
      <c r="M401" s="373"/>
      <c r="N401" s="373">
        <f ca="1">IFERROR(__xludf.DUMMYFUNCTION("IMPORTRANGE(""https://docs.google.com/spreadsheets/d/1XL5vhW3sbDhbH9Cz0tuDiY8C3ctxq1tqvaCgkFb8cCA/edit?usp=sharing"",""สุรินทร์!M296"")"),101269)</f>
        <v>101269</v>
      </c>
      <c r="O401" s="373">
        <f ca="1">+IF(L401&gt;0,N401*100/L401,0)</f>
        <v>63.312910284463896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IFERROR(__xludf.DUMMYFUNCTION("IMPORTRANGE(""https://docs.google.com/spreadsheets/d/1XL5vhW3sbDhbH9Cz0tuDiY8C3ctxq1tqvaCgkFb8cCA/edit?usp=sharing"",""สุรินทร์!I297"")"),45)</f>
        <v>45</v>
      </c>
      <c r="J402" s="371">
        <f ca="1">IFERROR(__xludf.DUMMYFUNCTION("IMPORTRANGE(""https://docs.google.com/spreadsheets/d/1XL5vhW3sbDhbH9Cz0tuDiY8C3ctxq1tqvaCgkFb8cCA/edit?usp=sharing"",""สุรินทร์!J297"")"),45)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IFERROR(__xludf.DUMMYFUNCTION("IMPORTRANGE(""https://docs.google.com/spreadsheets/d/1XL5vhW3sbDhbH9Cz0tuDiY8C3ctxq1tqvaCgkFb8cCA/edit?usp=sharing"",""สุรินทร์!L298"")"),0)</f>
        <v>0</v>
      </c>
      <c r="M403" s="164"/>
      <c r="N403" s="169">
        <f ca="1">IFERROR(__xludf.DUMMYFUNCTION("IMPORTRANGE(""https://docs.google.com/spreadsheets/d/1XL5vhW3sbDhbH9Cz0tuDiY8C3ctxq1tqvaCgkFb8cCA/edit?usp=sharing"",""สุรินทร์!M298"")"),0)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IFERROR(__xludf.DUMMYFUNCTION("IMPORTRANGE(""https://docs.google.com/spreadsheets/d/1XL5vhW3sbDhbH9Cz0tuDiY8C3ctxq1tqvaCgkFb8cCA/edit?usp=sharing"",""สุรินทร์!L299"")"),159950)</f>
        <v>159950</v>
      </c>
      <c r="M404" s="165"/>
      <c r="N404" s="169">
        <f ca="1">IFERROR(__xludf.DUMMYFUNCTION("IMPORTRANGE(""https://docs.google.com/spreadsheets/d/1XL5vhW3sbDhbH9Cz0tuDiY8C3ctxq1tqvaCgkFb8cCA/edit?usp=sharing"",""สุรินทร์!M299"")"),101269)</f>
        <v>101269</v>
      </c>
      <c r="O404" s="169">
        <f t="shared" ca="1" si="112"/>
        <v>63.312910284463896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IFERROR(__xludf.DUMMYFUNCTION("IMPORTRANGE(""https://docs.google.com/spreadsheets/d/1XL5vhW3sbDhbH9Cz0tuDiY8C3ctxq1tqvaCgkFb8cCA/edit?usp=sharing"",""สุรินทร์!L300"")"),0)</f>
        <v>0</v>
      </c>
      <c r="M405" s="169"/>
      <c r="N405" s="169">
        <f ca="1">IFERROR(__xludf.DUMMYFUNCTION("IMPORTRANGE(""https://docs.google.com/spreadsheets/d/1XL5vhW3sbDhbH9Cz0tuDiY8C3ctxq1tqvaCgkFb8cCA/edit?usp=sharing"",""สุรินทร์!M300"")"),0)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IFERROR(__xludf.DUMMYFUNCTION("IMPORTRANGE(""https://docs.google.com/spreadsheets/d/1XL5vhW3sbDhbH9Cz0tuDiY8C3ctxq1tqvaCgkFb8cCA/edit?usp=sharing"",""สุรินทร์!L301"")"),159950)</f>
        <v>159950</v>
      </c>
      <c r="M406" s="169"/>
      <c r="N406" s="169">
        <f ca="1">IFERROR(__xludf.DUMMYFUNCTION("IMPORTRANGE(""https://docs.google.com/spreadsheets/d/1XL5vhW3sbDhbH9Cz0tuDiY8C3ctxq1tqvaCgkFb8cCA/edit?usp=sharing"",""สุรินทร์!M301"")"),101269)</f>
        <v>101269</v>
      </c>
      <c r="O406" s="169">
        <f t="shared" ca="1" si="112"/>
        <v>63.312910284463896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IFERROR(__xludf.DUMMYFUNCTION("IMPORTRANGE(""https://docs.google.com/spreadsheets/d/1XL5vhW3sbDhbH9Cz0tuDiY8C3ctxq1tqvaCgkFb8cCA/edit?usp=sharing"",""สุรินทร์!M302"")"),97550)</f>
        <v>97550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IFERROR(__xludf.DUMMYFUNCTION("IMPORTRANGE(""https://docs.google.com/spreadsheets/d/1XL5vhW3sbDhbH9Cz0tuDiY8C3ctxq1tqvaCgkFb8cCA/edit?usp=sharing"",""สุรินทร์!M303"")"),0)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IFERROR(__xludf.DUMMYFUNCTION("IMPORTRANGE(""https://docs.google.com/spreadsheets/d/1XL5vhW3sbDhbH9Cz0tuDiY8C3ctxq1tqvaCgkFb8cCA/edit?usp=sharing"",""สุรินทร์!M304"")"),0)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IFERROR(__xludf.DUMMYFUNCTION("IMPORTRANGE(""https://docs.google.com/spreadsheets/d/1XL5vhW3sbDhbH9Cz0tuDiY8C3ctxq1tqvaCgkFb8cCA/edit?usp=sharing"",""สุรินทร์!M305"")"),3719)</f>
        <v>3719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IFERROR(__xludf.DUMMYFUNCTION("IMPORTRANGE(""https://docs.google.com/spreadsheets/d/1XL5vhW3sbDhbH9Cz0tuDiY8C3ctxq1tqvaCgkFb8cCA/edit?usp=sharing"",""สุรินทร์!J307"")"),0)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IFERROR(__xludf.DUMMYFUNCTION("IMPORTRANGE(""https://docs.google.com/spreadsheets/d/1XL5vhW3sbDhbH9Cz0tuDiY8C3ctxq1tqvaCgkFb8cCA/edit?usp=sharing"",""สุรินทร์!J308"")"),1)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IFERROR(__xludf.DUMMYFUNCTION("IMPORTRANGE(""https://docs.google.com/spreadsheets/d/1XL5vhW3sbDhbH9Cz0tuDiY8C3ctxq1tqvaCgkFb8cCA/edit?usp=sharing"",""สุรินทร์!J309"")"),1)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IFERROR(__xludf.DUMMYFUNCTION("IMPORTRANGE(""https://docs.google.com/spreadsheets/d/1XL5vhW3sbDhbH9Cz0tuDiY8C3ctxq1tqvaCgkFb8cCA/edit?usp=sharing"",""สุรินทร์!J310"")"),0)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IFERROR(__xludf.DUMMYFUNCTION("IMPORTRANGE(""https://docs.google.com/spreadsheets/d/1XL5vhW3sbDhbH9Cz0tuDiY8C3ctxq1tqvaCgkFb8cCA/edit?usp=sharing"",""สุรินทร์!I311"")"),45)</f>
        <v>45</v>
      </c>
      <c r="J416" s="201">
        <f ca="1">IFERROR(__xludf.DUMMYFUNCTION("IMPORTRANGE(""https://docs.google.com/spreadsheets/d/1XL5vhW3sbDhbH9Cz0tuDiY8C3ctxq1tqvaCgkFb8cCA/edit?usp=sharing"",""สุรินทร์!J311"")"),45)</f>
        <v>45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IFERROR(__xludf.DUMMYFUNCTION("IMPORTRANGE(""https://docs.google.com/spreadsheets/d/1XL5vhW3sbDhbH9Cz0tuDiY8C3ctxq1tqvaCgkFb8cCA/edit?usp=sharing"",""สุรินทร์!I312"")"),10)</f>
        <v>10</v>
      </c>
      <c r="J417" s="392">
        <f ca="1">IFERROR(__xludf.DUMMYFUNCTION("IMPORTRANGE(""https://docs.google.com/spreadsheets/d/1XL5vhW3sbDhbH9Cz0tuDiY8C3ctxq1tqvaCgkFb8cCA/edit?usp=sharing"",""สุรินทร์!J312"")"),10)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IFERROR(__xludf.DUMMYFUNCTION("IMPORTRANGE(""https://docs.google.com/spreadsheets/d/1XL5vhW3sbDhbH9Cz0tuDiY8C3ctxq1tqvaCgkFb8cCA/edit?usp=sharing"",""สุรินทร์!I313"")"),30)</f>
        <v>30</v>
      </c>
      <c r="J418" s="393">
        <f ca="1">IFERROR(__xludf.DUMMYFUNCTION("IMPORTRANGE(""https://docs.google.com/spreadsheets/d/1XL5vhW3sbDhbH9Cz0tuDiY8C3ctxq1tqvaCgkFb8cCA/edit?usp=sharing"",""สุรินทร์!J313"")"),30)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IFERROR(__xludf.DUMMYFUNCTION("IMPORTRANGE(""https://docs.google.com/spreadsheets/d/1XL5vhW3sbDhbH9Cz0tuDiY8C3ctxq1tqvaCgkFb8cCA/edit?usp=sharing"",""สุรินทร์!I314"")"),10)</f>
        <v>10</v>
      </c>
      <c r="J419" s="394">
        <f ca="1">IFERROR(__xludf.DUMMYFUNCTION("IMPORTRANGE(""https://docs.google.com/spreadsheets/d/1XL5vhW3sbDhbH9Cz0tuDiY8C3ctxq1tqvaCgkFb8cCA/edit?usp=sharing"",""สุรินทร์!J314"")"),10)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IFERROR(__xludf.DUMMYFUNCTION("IMPORTRANGE(""https://docs.google.com/spreadsheets/d/1XL5vhW3sbDhbH9Cz0tuDiY8C3ctxq1tqvaCgkFb8cCA/edit?usp=sharing"",""สุรินทร์!I315"")"),10)</f>
        <v>10</v>
      </c>
      <c r="J420" s="394">
        <f ca="1">IFERROR(__xludf.DUMMYFUNCTION("IMPORTRANGE(""https://docs.google.com/spreadsheets/d/1XL5vhW3sbDhbH9Cz0tuDiY8C3ctxq1tqvaCgkFb8cCA/edit?usp=sharing"",""สุรินทร์!J315"")"),10)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IFERROR(__xludf.DUMMYFUNCTION("IMPORTRANGE(""https://docs.google.com/spreadsheets/d/1XL5vhW3sbDhbH9Cz0tuDiY8C3ctxq1tqvaCgkFb8cCA/edit?usp=sharing"",""สุรินทร์!I316"")"),25)</f>
        <v>25</v>
      </c>
      <c r="J421" s="392">
        <f ca="1">IFERROR(__xludf.DUMMYFUNCTION("IMPORTRANGE(""https://docs.google.com/spreadsheets/d/1XL5vhW3sbDhbH9Cz0tuDiY8C3ctxq1tqvaCgkFb8cCA/edit?usp=sharing"",""สุรินทร์!J316"")"),25)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IFERROR(__xludf.DUMMYFUNCTION("IMPORTRANGE(""https://docs.google.com/spreadsheets/d/1XL5vhW3sbDhbH9Cz0tuDiY8C3ctxq1tqvaCgkFb8cCA/edit?usp=sharing"",""สุรินทร์!I317"")"),75)</f>
        <v>75</v>
      </c>
      <c r="J422" s="393">
        <f ca="1">IFERROR(__xludf.DUMMYFUNCTION("IMPORTRANGE(""https://docs.google.com/spreadsheets/d/1XL5vhW3sbDhbH9Cz0tuDiY8C3ctxq1tqvaCgkFb8cCA/edit?usp=sharing"",""สุรินทร์!J317"")"),75)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IFERROR(__xludf.DUMMYFUNCTION("IMPORTRANGE(""https://docs.google.com/spreadsheets/d/1XL5vhW3sbDhbH9Cz0tuDiY8C3ctxq1tqvaCgkFb8cCA/edit?usp=sharing"",""สุรินทร์!I318"")"),25)</f>
        <v>25</v>
      </c>
      <c r="J423" s="394">
        <f ca="1">IFERROR(__xludf.DUMMYFUNCTION("IMPORTRANGE(""https://docs.google.com/spreadsheets/d/1XL5vhW3sbDhbH9Cz0tuDiY8C3ctxq1tqvaCgkFb8cCA/edit?usp=sharing"",""สุรินทร์!J318"")"),25)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IFERROR(__xludf.DUMMYFUNCTION("IMPORTRANGE(""https://docs.google.com/spreadsheets/d/1XL5vhW3sbDhbH9Cz0tuDiY8C3ctxq1tqvaCgkFb8cCA/edit?usp=sharing"",""สุรินทร์!I319"")"),25)</f>
        <v>25</v>
      </c>
      <c r="J424" s="394">
        <f ca="1">IFERROR(__xludf.DUMMYFUNCTION("IMPORTRANGE(""https://docs.google.com/spreadsheets/d/1XL5vhW3sbDhbH9Cz0tuDiY8C3ctxq1tqvaCgkFb8cCA/edit?usp=sharing"",""สุรินทร์!J319"")"),25)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IFERROR(__xludf.DUMMYFUNCTION("IMPORTRANGE(""https://docs.google.com/spreadsheets/d/1XL5vhW3sbDhbH9Cz0tuDiY8C3ctxq1tqvaCgkFb8cCA/edit?usp=sharing"",""สุรินทร์!I320"")"),25)</f>
        <v>25</v>
      </c>
      <c r="J425" s="394">
        <f ca="1">IFERROR(__xludf.DUMMYFUNCTION("IMPORTRANGE(""https://docs.google.com/spreadsheets/d/1XL5vhW3sbDhbH9Cz0tuDiY8C3ctxq1tqvaCgkFb8cCA/edit?usp=sharing"",""สุรินทร์!J320"")"),25)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IFERROR(__xludf.DUMMYFUNCTION("IMPORTRANGE(""https://docs.google.com/spreadsheets/d/1XL5vhW3sbDhbH9Cz0tuDiY8C3ctxq1tqvaCgkFb8cCA/edit?usp=sharing"",""สุรินทร์!I321"")"),10)</f>
        <v>10</v>
      </c>
      <c r="J426" s="392">
        <f ca="1">IFERROR(__xludf.DUMMYFUNCTION("IMPORTRANGE(""https://docs.google.com/spreadsheets/d/1XL5vhW3sbDhbH9Cz0tuDiY8C3ctxq1tqvaCgkFb8cCA/edit?usp=sharing"",""สุรินทร์!J321"")"),10)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IFERROR(__xludf.DUMMYFUNCTION("IMPORTRANGE(""https://docs.google.com/spreadsheets/d/1XL5vhW3sbDhbH9Cz0tuDiY8C3ctxq1tqvaCgkFb8cCA/edit?usp=sharing"",""สุรินทร์!I322"")"),30)</f>
        <v>30</v>
      </c>
      <c r="J427" s="393">
        <f ca="1">IFERROR(__xludf.DUMMYFUNCTION("IMPORTRANGE(""https://docs.google.com/spreadsheets/d/1XL5vhW3sbDhbH9Cz0tuDiY8C3ctxq1tqvaCgkFb8cCA/edit?usp=sharing"",""สุรินทร์!J322"")"),30)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IFERROR(__xludf.DUMMYFUNCTION("IMPORTRANGE(""https://docs.google.com/spreadsheets/d/1XL5vhW3sbDhbH9Cz0tuDiY8C3ctxq1tqvaCgkFb8cCA/edit?usp=sharing"",""สุรินทร์!I323"")"),10)</f>
        <v>10</v>
      </c>
      <c r="J428" s="394">
        <f ca="1">IFERROR(__xludf.DUMMYFUNCTION("IMPORTRANGE(""https://docs.google.com/spreadsheets/d/1XL5vhW3sbDhbH9Cz0tuDiY8C3ctxq1tqvaCgkFb8cCA/edit?usp=sharing"",""สุรินทร์!J323"")"),10)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IFERROR(__xludf.DUMMYFUNCTION("IMPORTRANGE(""https://docs.google.com/spreadsheets/d/1XL5vhW3sbDhbH9Cz0tuDiY8C3ctxq1tqvaCgkFb8cCA/edit?usp=sharing"",""สุรินทร์!I324"")"),10)</f>
        <v>10</v>
      </c>
      <c r="J429" s="394">
        <f ca="1">IFERROR(__xludf.DUMMYFUNCTION("IMPORTRANGE(""https://docs.google.com/spreadsheets/d/1XL5vhW3sbDhbH9Cz0tuDiY8C3ctxq1tqvaCgkFb8cCA/edit?usp=sharing"",""สุรินทร์!J324"")"),10)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IFERROR(__xludf.DUMMYFUNCTION("IMPORTRANGE(""https://docs.google.com/spreadsheets/d/1XL5vhW3sbDhbH9Cz0tuDiY8C3ctxq1tqvaCgkFb8cCA/edit?usp=sharing"",""สุรินทร์!I325"")"),35)</f>
        <v>35</v>
      </c>
      <c r="J430" s="392">
        <f ca="1">IFERROR(__xludf.DUMMYFUNCTION("IMPORTRANGE(""https://docs.google.com/spreadsheets/d/1XL5vhW3sbDhbH9Cz0tuDiY8C3ctxq1tqvaCgkFb8cCA/edit?usp=sharing"",""สุรินทร์!J325"")"),0)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IFERROR(__xludf.DUMMYFUNCTION("IMPORTRANGE(""https://docs.google.com/spreadsheets/d/1XL5vhW3sbDhbH9Cz0tuDiY8C3ctxq1tqvaCgkFb8cCA/edit?usp=sharing"",""สุรินทร์!I326"")"),10)</f>
        <v>10</v>
      </c>
      <c r="J431" s="394">
        <f ca="1">IFERROR(__xludf.DUMMYFUNCTION("IMPORTRANGE(""https://docs.google.com/spreadsheets/d/1XL5vhW3sbDhbH9Cz0tuDiY8C3ctxq1tqvaCgkFb8cCA/edit?usp=sharing"",""สุรินทร์!J326"")"),0)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IFERROR(__xludf.DUMMYFUNCTION("IMPORTRANGE(""https://docs.google.com/spreadsheets/d/1XL5vhW3sbDhbH9Cz0tuDiY8C3ctxq1tqvaCgkFb8cCA/edit?usp=sharing"",""สุรินทร์!I327"")"),25)</f>
        <v>25</v>
      </c>
      <c r="J432" s="394">
        <f ca="1">IFERROR(__xludf.DUMMYFUNCTION("IMPORTRANGE(""https://docs.google.com/spreadsheets/d/1XL5vhW3sbDhbH9Cz0tuDiY8C3ctxq1tqvaCgkFb8cCA/edit?usp=sharing"",""สุรินทร์!J327"")"),0)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IFERROR(__xludf.DUMMYFUNCTION("IMPORTRANGE(""https://docs.google.com/spreadsheets/d/1XL5vhW3sbDhbH9Cz0tuDiY8C3ctxq1tqvaCgkFb8cCA/edit?usp=sharing"",""สุรินทร์!J328"")"),0)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IFERROR(__xludf.DUMMYFUNCTION("IMPORTRANGE(""https://docs.google.com/spreadsheets/d/1XL5vhW3sbDhbH9Cz0tuDiY8C3ctxq1tqvaCgkFb8cCA/edit?usp=sharing"",""สุรินทร์!J329"")"),0)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IFERROR(__xludf.DUMMYFUNCTION("IMPORTRANGE(""https://docs.google.com/spreadsheets/d/1XL5vhW3sbDhbH9Cz0tuDiY8C3ctxq1tqvaCgkFb8cCA/edit?usp=sharing"",""สุรินทร์!I330"")"),80)</f>
        <v>80</v>
      </c>
      <c r="J435" s="410">
        <f ca="1">IFERROR(__xludf.DUMMYFUNCTION("IMPORTRANGE(""https://docs.google.com/spreadsheets/d/1XL5vhW3sbDhbH9Cz0tuDiY8C3ctxq1tqvaCgkFb8cCA/edit?usp=sharing"",""สุรินทร์!J330"")"),80)</f>
        <v>80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IFERROR(__xludf.DUMMYFUNCTION("IMPORTRANGE(""https://docs.google.com/spreadsheets/d/1XL5vhW3sbDhbH9Cz0tuDiY8C3ctxq1tqvaCgkFb8cCA/edit?usp=sharing"",""สุรินทร์!L330"")"),222000)</f>
        <v>222000</v>
      </c>
      <c r="M435" s="412"/>
      <c r="N435" s="412">
        <f ca="1">IFERROR(__xludf.DUMMYFUNCTION("IMPORTRANGE(""https://docs.google.com/spreadsheets/d/1XL5vhW3sbDhbH9Cz0tuDiY8C3ctxq1tqvaCgkFb8cCA/edit?usp=sharing"",""สุรินทร์!M330"")"),183477)</f>
        <v>183477</v>
      </c>
      <c r="O435" s="412">
        <f t="shared" ref="O435:O439" ca="1" si="114">+IF(L435&gt;0,N435*100/L435,0)</f>
        <v>82.6472972972973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IFERROR(__xludf.DUMMYFUNCTION("IMPORTRANGE(""https://docs.google.com/spreadsheets/d/1XL5vhW3sbDhbH9Cz0tuDiY8C3ctxq1tqvaCgkFb8cCA/edit?usp=sharing"",""สุรินทร์!L331"")"),0)</f>
        <v>0</v>
      </c>
      <c r="M436" s="164"/>
      <c r="N436" s="169">
        <f ca="1">IFERROR(__xludf.DUMMYFUNCTION("IMPORTRANGE(""https://docs.google.com/spreadsheets/d/1XL5vhW3sbDhbH9Cz0tuDiY8C3ctxq1tqvaCgkFb8cCA/edit?usp=sharing"",""สุรินทร์!M331"")"),0)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IFERROR(__xludf.DUMMYFUNCTION("IMPORTRANGE(""https://docs.google.com/spreadsheets/d/1XL5vhW3sbDhbH9Cz0tuDiY8C3ctxq1tqvaCgkFb8cCA/edit?usp=sharing"",""สุรินทร์!L332"")"),222000)</f>
        <v>222000</v>
      </c>
      <c r="M437" s="165"/>
      <c r="N437" s="169">
        <f ca="1">IFERROR(__xludf.DUMMYFUNCTION("IMPORTRANGE(""https://docs.google.com/spreadsheets/d/1XL5vhW3sbDhbH9Cz0tuDiY8C3ctxq1tqvaCgkFb8cCA/edit?usp=sharing"",""สุรินทร์!M332"")"),183477)</f>
        <v>183477</v>
      </c>
      <c r="O437" s="169">
        <f t="shared" ca="1" si="114"/>
        <v>82.6472972972973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IFERROR(__xludf.DUMMYFUNCTION("IMPORTRANGE(""https://docs.google.com/spreadsheets/d/1XL5vhW3sbDhbH9Cz0tuDiY8C3ctxq1tqvaCgkFb8cCA/edit?usp=sharing"",""สุรินทร์!L333"")"),0)</f>
        <v>0</v>
      </c>
      <c r="M438" s="169"/>
      <c r="N438" s="169">
        <f ca="1">IFERROR(__xludf.DUMMYFUNCTION("IMPORTRANGE(""https://docs.google.com/spreadsheets/d/1XL5vhW3sbDhbH9Cz0tuDiY8C3ctxq1tqvaCgkFb8cCA/edit?usp=sharing"",""สุรินทร์!M333"")"),0)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IFERROR(__xludf.DUMMYFUNCTION("IMPORTRANGE(""https://docs.google.com/spreadsheets/d/1XL5vhW3sbDhbH9Cz0tuDiY8C3ctxq1tqvaCgkFb8cCA/edit?usp=sharing"",""สุรินทร์!L334"")"),222000)</f>
        <v>222000</v>
      </c>
      <c r="M439" s="169"/>
      <c r="N439" s="169">
        <f ca="1">IFERROR(__xludf.DUMMYFUNCTION("IMPORTRANGE(""https://docs.google.com/spreadsheets/d/1XL5vhW3sbDhbH9Cz0tuDiY8C3ctxq1tqvaCgkFb8cCA/edit?usp=sharing"",""สุรินทร์!M334"")"),183477)</f>
        <v>183477</v>
      </c>
      <c r="O439" s="169">
        <f t="shared" ca="1" si="114"/>
        <v>82.6472972972973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IFERROR(__xludf.DUMMYFUNCTION("IMPORTRANGE(""https://docs.google.com/spreadsheets/d/1XL5vhW3sbDhbH9Cz0tuDiY8C3ctxq1tqvaCgkFb8cCA/edit?usp=sharing"",""สุรินทร์!M335"")"),160588)</f>
        <v>160588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IFERROR(__xludf.DUMMYFUNCTION("IMPORTRANGE(""https://docs.google.com/spreadsheets/d/1XL5vhW3sbDhbH9Cz0tuDiY8C3ctxq1tqvaCgkFb8cCA/edit?usp=sharing"",""สุรินทร์!M336"")"),0)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IFERROR(__xludf.DUMMYFUNCTION("IMPORTRANGE(""https://docs.google.com/spreadsheets/d/1XL5vhW3sbDhbH9Cz0tuDiY8C3ctxq1tqvaCgkFb8cCA/edit?usp=sharing"",""สุรินทร์!M337"")"),15410)</f>
        <v>15410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IFERROR(__xludf.DUMMYFUNCTION("IMPORTRANGE(""https://docs.google.com/spreadsheets/d/1XL5vhW3sbDhbH9Cz0tuDiY8C3ctxq1tqvaCgkFb8cCA/edit?usp=sharing"",""สุรินทร์!M338"")"),7479)</f>
        <v>7479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IFERROR(__xludf.DUMMYFUNCTION("IMPORTRANGE(""https://docs.google.com/spreadsheets/d/1XL5vhW3sbDhbH9Cz0tuDiY8C3ctxq1tqvaCgkFb8cCA/edit?usp=sharing"",""สุรินทร์!J340"")"),0)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IFERROR(__xludf.DUMMYFUNCTION("IMPORTRANGE(""https://docs.google.com/spreadsheets/d/1XL5vhW3sbDhbH9Cz0tuDiY8C3ctxq1tqvaCgkFb8cCA/edit?usp=sharing"",""สุรินทร์!J341"")"),1)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IFERROR(__xludf.DUMMYFUNCTION("IMPORTRANGE(""https://docs.google.com/spreadsheets/d/1XL5vhW3sbDhbH9Cz0tuDiY8C3ctxq1tqvaCgkFb8cCA/edit?usp=sharing"",""สุรินทร์!J342"")"),1)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IFERROR(__xludf.DUMMYFUNCTION("IMPORTRANGE(""https://docs.google.com/spreadsheets/d/1XL5vhW3sbDhbH9Cz0tuDiY8C3ctxq1tqvaCgkFb8cCA/edit?usp=sharing"",""สุรินทร์!J343"")"),0)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IFERROR(__xludf.DUMMYFUNCTION("IMPORTRANGE(""https://docs.google.com/spreadsheets/d/1XL5vhW3sbDhbH9Cz0tuDiY8C3ctxq1tqvaCgkFb8cCA/edit?usp=sharing"",""สุรินทร์!I344"")"),80)</f>
        <v>80</v>
      </c>
      <c r="J449" s="201">
        <f ca="1">IFERROR(__xludf.DUMMYFUNCTION("IMPORTRANGE(""https://docs.google.com/spreadsheets/d/1XL5vhW3sbDhbH9Cz0tuDiY8C3ctxq1tqvaCgkFb8cCA/edit?usp=sharing"",""สุรินทร์!J344"")"),80)</f>
        <v>80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IFERROR(__xludf.DUMMYFUNCTION("IMPORTRANGE(""https://docs.google.com/spreadsheets/d/1XL5vhW3sbDhbH9Cz0tuDiY8C3ctxq1tqvaCgkFb8cCA/edit?usp=sharing"",""สุรินทร์!I345"")"),30)</f>
        <v>30</v>
      </c>
      <c r="J450" s="189">
        <f ca="1">IFERROR(__xludf.DUMMYFUNCTION("IMPORTRANGE(""https://docs.google.com/spreadsheets/d/1XL5vhW3sbDhbH9Cz0tuDiY8C3ctxq1tqvaCgkFb8cCA/edit?usp=sharing"",""สุรินทร์!J345"")"),30)</f>
        <v>30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IFERROR(__xludf.DUMMYFUNCTION("IMPORTRANGE(""https://docs.google.com/spreadsheets/d/1XL5vhW3sbDhbH9Cz0tuDiY8C3ctxq1tqvaCgkFb8cCA/edit?usp=sharing"",""สุรินทร์!I346"")"),50)</f>
        <v>50</v>
      </c>
      <c r="J451" s="188">
        <f ca="1">IFERROR(__xludf.DUMMYFUNCTION("IMPORTRANGE(""https://docs.google.com/spreadsheets/d/1XL5vhW3sbDhbH9Cz0tuDiY8C3ctxq1tqvaCgkFb8cCA/edit?usp=sharing"",""สุรินทร์!J346"")"),50)</f>
        <v>50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IFERROR(__xludf.DUMMYFUNCTION("IMPORTRANGE(""https://docs.google.com/spreadsheets/d/1XL5vhW3sbDhbH9Cz0tuDiY8C3ctxq1tqvaCgkFb8cCA/edit?usp=sharing"",""สุรินทร์!I347"")"),0)</f>
        <v>0</v>
      </c>
      <c r="J452" s="188">
        <f ca="1">IFERROR(__xludf.DUMMYFUNCTION("IMPORTRANGE(""https://docs.google.com/spreadsheets/d/1XL5vhW3sbDhbH9Cz0tuDiY8C3ctxq1tqvaCgkFb8cCA/edit?usp=sharing"",""สุรินทร์!J347"")"),0)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IFERROR(__xludf.DUMMYFUNCTION("IMPORTRANGE(""https://docs.google.com/spreadsheets/d/1XL5vhW3sbDhbH9Cz0tuDiY8C3ctxq1tqvaCgkFb8cCA/edit?usp=sharing"",""สุรินทร์!J348"")"),0)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IFERROR(__xludf.DUMMYFUNCTION("IMPORTRANGE(""https://docs.google.com/spreadsheets/d/1XL5vhW3sbDhbH9Cz0tuDiY8C3ctxq1tqvaCgkFb8cCA/edit?usp=sharing"",""สุรินทร์!J349"")"),0)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IFERROR(__xludf.DUMMYFUNCTION("IMPORTRANGE(""https://docs.google.com/spreadsheets/d/1XL5vhW3sbDhbH9Cz0tuDiY8C3ctxq1tqvaCgkFb8cCA/edit?usp=sharing"",""สุรินทร์!I350"")"),45339)</f>
        <v>45339</v>
      </c>
      <c r="J455" s="371">
        <f ca="1">IFERROR(__xludf.DUMMYFUNCTION("IMPORTRANGE(""https://docs.google.com/spreadsheets/d/1XL5vhW3sbDhbH9Cz0tuDiY8C3ctxq1tqvaCgkFb8cCA/edit?usp=sharing"",""สุรินทร์!J350"")"),0)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IFERROR(__xludf.DUMMYFUNCTION("IMPORTRANGE(""https://docs.google.com/spreadsheets/d/1XL5vhW3sbDhbH9Cz0tuDiY8C3ctxq1tqvaCgkFb8cCA/edit?usp=sharing"",""สุรินทร์!L350"")"),699661)</f>
        <v>699661</v>
      </c>
      <c r="M455" s="373"/>
      <c r="N455" s="373">
        <f ca="1">IFERROR(__xludf.DUMMYFUNCTION("IMPORTRANGE(""https://docs.google.com/spreadsheets/d/1XL5vhW3sbDhbH9Cz0tuDiY8C3ctxq1tqvaCgkFb8cCA/edit?usp=sharing"",""สุรินทร์!M350"")"),186787.07)</f>
        <v>186787.07</v>
      </c>
      <c r="O455" s="373">
        <f t="shared" ref="O455:O459" ca="1" si="116">+IF(L455&gt;0,N455*100/L455,0)</f>
        <v>26.696796019786724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IFERROR(__xludf.DUMMYFUNCTION("IMPORTRANGE(""https://docs.google.com/spreadsheets/d/1XL5vhW3sbDhbH9Cz0tuDiY8C3ctxq1tqvaCgkFb8cCA/edit?usp=sharing"",""สุรินทร์!L351"")"),0)</f>
        <v>0</v>
      </c>
      <c r="M456" s="164"/>
      <c r="N456" s="169">
        <f ca="1">IFERROR(__xludf.DUMMYFUNCTION("IMPORTRANGE(""https://docs.google.com/spreadsheets/d/1XL5vhW3sbDhbH9Cz0tuDiY8C3ctxq1tqvaCgkFb8cCA/edit?usp=sharing"",""สุรินทร์!M351"")"),0)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IFERROR(__xludf.DUMMYFUNCTION("IMPORTRANGE(""https://docs.google.com/spreadsheets/d/1XL5vhW3sbDhbH9Cz0tuDiY8C3ctxq1tqvaCgkFb8cCA/edit?usp=sharing"",""สุรินทร์!L352"")"),699661)</f>
        <v>699661</v>
      </c>
      <c r="M457" s="165"/>
      <c r="N457" s="169">
        <f ca="1">IFERROR(__xludf.DUMMYFUNCTION("IMPORTRANGE(""https://docs.google.com/spreadsheets/d/1XL5vhW3sbDhbH9Cz0tuDiY8C3ctxq1tqvaCgkFb8cCA/edit?usp=sharing"",""สุรินทร์!M352"")"),186787.07)</f>
        <v>186787.07</v>
      </c>
      <c r="O457" s="169">
        <f t="shared" ca="1" si="116"/>
        <v>26.696796019786724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IFERROR(__xludf.DUMMYFUNCTION("IMPORTRANGE(""https://docs.google.com/spreadsheets/d/1XL5vhW3sbDhbH9Cz0tuDiY8C3ctxq1tqvaCgkFb8cCA/edit?usp=sharing"",""สุรินทร์!L353"")"),0)</f>
        <v>0</v>
      </c>
      <c r="M458" s="169"/>
      <c r="N458" s="169">
        <f ca="1">IFERROR(__xludf.DUMMYFUNCTION("IMPORTRANGE(""https://docs.google.com/spreadsheets/d/1XL5vhW3sbDhbH9Cz0tuDiY8C3ctxq1tqvaCgkFb8cCA/edit?usp=sharing"",""สุรินทร์!M353"")"),0)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IFERROR(__xludf.DUMMYFUNCTION("IMPORTRANGE(""https://docs.google.com/spreadsheets/d/1XL5vhW3sbDhbH9Cz0tuDiY8C3ctxq1tqvaCgkFb8cCA/edit?usp=sharing"",""สุรินทร์!L354"")"),699661)</f>
        <v>699661</v>
      </c>
      <c r="M459" s="169"/>
      <c r="N459" s="169">
        <f ca="1">IFERROR(__xludf.DUMMYFUNCTION("IMPORTRANGE(""https://docs.google.com/spreadsheets/d/1XL5vhW3sbDhbH9Cz0tuDiY8C3ctxq1tqvaCgkFb8cCA/edit?usp=sharing"",""สุรินทร์!M354"")"),186787.07)</f>
        <v>186787.07</v>
      </c>
      <c r="O459" s="169">
        <f t="shared" ca="1" si="116"/>
        <v>26.696796019786724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IFERROR(__xludf.DUMMYFUNCTION("IMPORTRANGE(""https://docs.google.com/spreadsheets/d/1XL5vhW3sbDhbH9Cz0tuDiY8C3ctxq1tqvaCgkFb8cCA/edit?usp=sharing"",""สุรินทร์!M355"")"),0)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IFERROR(__xludf.DUMMYFUNCTION("IMPORTRANGE(""https://docs.google.com/spreadsheets/d/1XL5vhW3sbDhbH9Cz0tuDiY8C3ctxq1tqvaCgkFb8cCA/edit?usp=sharing"",""สุรินทร์!M356"")"),0)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IFERROR(__xludf.DUMMYFUNCTION("IMPORTRANGE(""https://docs.google.com/spreadsheets/d/1XL5vhW3sbDhbH9Cz0tuDiY8C3ctxq1tqvaCgkFb8cCA/edit?usp=sharing"",""สุรินทร์!M357"")"),124336.07)</f>
        <v>124336.07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IFERROR(__xludf.DUMMYFUNCTION("IMPORTRANGE(""https://docs.google.com/spreadsheets/d/1XL5vhW3sbDhbH9Cz0tuDiY8C3ctxq1tqvaCgkFb8cCA/edit?usp=sharing"",""สุรินทร์!M358"")"),62451)</f>
        <v>62451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IFERROR(__xludf.DUMMYFUNCTION("IMPORTRANGE(""https://docs.google.com/spreadsheets/d/1XL5vhW3sbDhbH9Cz0tuDiY8C3ctxq1tqvaCgkFb8cCA/edit?usp=sharing"",""สุรินทร์!I359"")"),45339)</f>
        <v>45339</v>
      </c>
      <c r="J464" s="267">
        <f ca="1">IFERROR(__xludf.DUMMYFUNCTION("IMPORTRANGE(""https://docs.google.com/spreadsheets/d/1XL5vhW3sbDhbH9Cz0tuDiY8C3ctxq1tqvaCgkFb8cCA/edit?usp=sharing"",""สุรินทร์!J359"")"),0)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IFERROR(__xludf.DUMMYFUNCTION("IMPORTRANGE(""https://docs.google.com/spreadsheets/d/1XL5vhW3sbDhbH9Cz0tuDiY8C3ctxq1tqvaCgkFb8cCA/edit?usp=sharing"",""สุรินทร์!I360"")"),45339)</f>
        <v>45339</v>
      </c>
      <c r="J465" s="420">
        <f ca="1">IFERROR(__xludf.DUMMYFUNCTION("IMPORTRANGE(""https://docs.google.com/spreadsheets/d/1XL5vhW3sbDhbH9Cz0tuDiY8C3ctxq1tqvaCgkFb8cCA/edit?usp=sharing"",""สุรินทร์!J360"")"),45340)</f>
        <v>45340</v>
      </c>
      <c r="K465" s="202">
        <f t="shared" ca="1" si="117"/>
        <v>100.00220560665211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IFERROR(__xludf.DUMMYFUNCTION("IMPORTRANGE(""https://docs.google.com/spreadsheets/d/1XL5vhW3sbDhbH9Cz0tuDiY8C3ctxq1tqvaCgkFb8cCA/edit?usp=sharing"",""สุรินทร์!I361"")"),6353)</f>
        <v>6353</v>
      </c>
      <c r="J466" s="420">
        <f ca="1">IFERROR(__xludf.DUMMYFUNCTION("IMPORTRANGE(""https://docs.google.com/spreadsheets/d/1XL5vhW3sbDhbH9Cz0tuDiY8C3ctxq1tqvaCgkFb8cCA/edit?usp=sharing"",""สุรินทร์!J361"")"),6353)</f>
        <v>6353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IFERROR(__xludf.DUMMYFUNCTION("IMPORTRANGE(""https://docs.google.com/spreadsheets/d/1XL5vhW3sbDhbH9Cz0tuDiY8C3ctxq1tqvaCgkFb8cCA/edit?usp=sharing"",""สุรินทร์!I362"")"),0)</f>
        <v>0</v>
      </c>
      <c r="J467" s="189">
        <f ca="1">IFERROR(__xludf.DUMMYFUNCTION("IMPORTRANGE(""https://docs.google.com/spreadsheets/d/1XL5vhW3sbDhbH9Cz0tuDiY8C3ctxq1tqvaCgkFb8cCA/edit?usp=sharing"",""สุรินทร์!J362"")"),33268)</f>
        <v>33268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IFERROR(__xludf.DUMMYFUNCTION("IMPORTRANGE(""https://docs.google.com/spreadsheets/d/1XL5vhW3sbDhbH9Cz0tuDiY8C3ctxq1tqvaCgkFb8cCA/edit?usp=sharing"",""สุรินทร์!I363"")"),0)</f>
        <v>0</v>
      </c>
      <c r="J468" s="189">
        <f ca="1">IFERROR(__xludf.DUMMYFUNCTION("IMPORTRANGE(""https://docs.google.com/spreadsheets/d/1XL5vhW3sbDhbH9Cz0tuDiY8C3ctxq1tqvaCgkFb8cCA/edit?usp=sharing"",""สุรินทร์!J363"")"),5166)</f>
        <v>5166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IFERROR(__xludf.DUMMYFUNCTION("IMPORTRANGE(""https://docs.google.com/spreadsheets/d/1XL5vhW3sbDhbH9Cz0tuDiY8C3ctxq1tqvaCgkFb8cCA/edit?usp=sharing"",""สุรินทร์!I364"")"),0)</f>
        <v>0</v>
      </c>
      <c r="J469" s="189">
        <f ca="1">IFERROR(__xludf.DUMMYFUNCTION("IMPORTRANGE(""https://docs.google.com/spreadsheets/d/1XL5vhW3sbDhbH9Cz0tuDiY8C3ctxq1tqvaCgkFb8cCA/edit?usp=sharing"",""สุรินทร์!J364"")"),10051)</f>
        <v>10051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IFERROR(__xludf.DUMMYFUNCTION("IMPORTRANGE(""https://docs.google.com/spreadsheets/d/1XL5vhW3sbDhbH9Cz0tuDiY8C3ctxq1tqvaCgkFb8cCA/edit?usp=sharing"",""สุรินทร์!I365"")"),0)</f>
        <v>0</v>
      </c>
      <c r="J470" s="189">
        <f ca="1">IFERROR(__xludf.DUMMYFUNCTION("IMPORTRANGE(""https://docs.google.com/spreadsheets/d/1XL5vhW3sbDhbH9Cz0tuDiY8C3ctxq1tqvaCgkFb8cCA/edit?usp=sharing"",""สุรินทร์!J365"")"),999)</f>
        <v>999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IFERROR(__xludf.DUMMYFUNCTION("IMPORTRANGE(""https://docs.google.com/spreadsheets/d/1XL5vhW3sbDhbH9Cz0tuDiY8C3ctxq1tqvaCgkFb8cCA/edit?usp=sharing"",""สุรินทร์!I366"")"),0)</f>
        <v>0</v>
      </c>
      <c r="J471" s="189">
        <f ca="1">IFERROR(__xludf.DUMMYFUNCTION("IMPORTRANGE(""https://docs.google.com/spreadsheets/d/1XL5vhW3sbDhbH9Cz0tuDiY8C3ctxq1tqvaCgkFb8cCA/edit?usp=sharing"",""สุรินทร์!J366"")"),2021)</f>
        <v>2021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IFERROR(__xludf.DUMMYFUNCTION("IMPORTRANGE(""https://docs.google.com/spreadsheets/d/1XL5vhW3sbDhbH9Cz0tuDiY8C3ctxq1tqvaCgkFb8cCA/edit?usp=sharing"",""สุรินทร์!I367"")"),0)</f>
        <v>0</v>
      </c>
      <c r="J472" s="189">
        <f ca="1">IFERROR(__xludf.DUMMYFUNCTION("IMPORTRANGE(""https://docs.google.com/spreadsheets/d/1XL5vhW3sbDhbH9Cz0tuDiY8C3ctxq1tqvaCgkFb8cCA/edit?usp=sharing"",""สุรินทร์!J367"")"),188)</f>
        <v>188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IFERROR(__xludf.DUMMYFUNCTION("IMPORTRANGE(""https://docs.google.com/spreadsheets/d/1XL5vhW3sbDhbH9Cz0tuDiY8C3ctxq1tqvaCgkFb8cCA/edit?usp=sharing"",""สุรินทร์!I368"")"),45339)</f>
        <v>45339</v>
      </c>
      <c r="J473" s="420">
        <f ca="1">IFERROR(__xludf.DUMMYFUNCTION("IMPORTRANGE(""https://docs.google.com/spreadsheets/d/1XL5vhW3sbDhbH9Cz0tuDiY8C3ctxq1tqvaCgkFb8cCA/edit?usp=sharing"",""สุรินทร์!J368"")"),45340.87)</f>
        <v>45340.87</v>
      </c>
      <c r="K473" s="202">
        <f t="shared" ca="1" si="117"/>
        <v>100.00412448443944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IFERROR(__xludf.DUMMYFUNCTION("IMPORTRANGE(""https://docs.google.com/spreadsheets/d/1XL5vhW3sbDhbH9Cz0tuDiY8C3ctxq1tqvaCgkFb8cCA/edit?usp=sharing"",""สุรินทร์!I369"")"),6353)</f>
        <v>6353</v>
      </c>
      <c r="J474" s="420">
        <f ca="1">IFERROR(__xludf.DUMMYFUNCTION("IMPORTRANGE(""https://docs.google.com/spreadsheets/d/1XL5vhW3sbDhbH9Cz0tuDiY8C3ctxq1tqvaCgkFb8cCA/edit?usp=sharing"",""สุรินทร์!J369"")"),6353)</f>
        <v>6353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IFERROR(__xludf.DUMMYFUNCTION("IMPORTRANGE(""https://docs.google.com/spreadsheets/d/1XL5vhW3sbDhbH9Cz0tuDiY8C3ctxq1tqvaCgkFb8cCA/edit?usp=sharing"",""สุรินทร์!I370"")"),0)</f>
        <v>0</v>
      </c>
      <c r="J475" s="189">
        <f ca="1">IFERROR(__xludf.DUMMYFUNCTION("IMPORTRANGE(""https://docs.google.com/spreadsheets/d/1XL5vhW3sbDhbH9Cz0tuDiY8C3ctxq1tqvaCgkFb8cCA/edit?usp=sharing"",""สุรินทร์!J370"")"),36158.87)</f>
        <v>36158.870000000003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IFERROR(__xludf.DUMMYFUNCTION("IMPORTRANGE(""https://docs.google.com/spreadsheets/d/1XL5vhW3sbDhbH9Cz0tuDiY8C3ctxq1tqvaCgkFb8cCA/edit?usp=sharing"",""สุรินทร์!I371"")"),0)</f>
        <v>0</v>
      </c>
      <c r="J476" s="189">
        <f ca="1">IFERROR(__xludf.DUMMYFUNCTION("IMPORTRANGE(""https://docs.google.com/spreadsheets/d/1XL5vhW3sbDhbH9Cz0tuDiY8C3ctxq1tqvaCgkFb8cCA/edit?usp=sharing"",""สุรินทร์!J371"")"),5442)</f>
        <v>5442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IFERROR(__xludf.DUMMYFUNCTION("IMPORTRANGE(""https://docs.google.com/spreadsheets/d/1XL5vhW3sbDhbH9Cz0tuDiY8C3ctxq1tqvaCgkFb8cCA/edit?usp=sharing"",""สุรินทร์!I372"")"),0)</f>
        <v>0</v>
      </c>
      <c r="J477" s="189">
        <f ca="1">IFERROR(__xludf.DUMMYFUNCTION("IMPORTRANGE(""https://docs.google.com/spreadsheets/d/1XL5vhW3sbDhbH9Cz0tuDiY8C3ctxq1tqvaCgkFb8cCA/edit?usp=sharing"",""สุรินทร์!J372"")"),6777)</f>
        <v>6777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IFERROR(__xludf.DUMMYFUNCTION("IMPORTRANGE(""https://docs.google.com/spreadsheets/d/1XL5vhW3sbDhbH9Cz0tuDiY8C3ctxq1tqvaCgkFb8cCA/edit?usp=sharing"",""สุรินทร์!I373"")"),0)</f>
        <v>0</v>
      </c>
      <c r="J478" s="189">
        <f ca="1">IFERROR(__xludf.DUMMYFUNCTION("IMPORTRANGE(""https://docs.google.com/spreadsheets/d/1XL5vhW3sbDhbH9Cz0tuDiY8C3ctxq1tqvaCgkFb8cCA/edit?usp=sharing"",""สุรินทร์!J373"")"),693)</f>
        <v>693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IFERROR(__xludf.DUMMYFUNCTION("IMPORTRANGE(""https://docs.google.com/spreadsheets/d/1XL5vhW3sbDhbH9Cz0tuDiY8C3ctxq1tqvaCgkFb8cCA/edit?usp=sharing"",""สุรินทร์!I374"")"),0)</f>
        <v>0</v>
      </c>
      <c r="J479" s="189">
        <f ca="1">IFERROR(__xludf.DUMMYFUNCTION("IMPORTRANGE(""https://docs.google.com/spreadsheets/d/1XL5vhW3sbDhbH9Cz0tuDiY8C3ctxq1tqvaCgkFb8cCA/edit?usp=sharing"",""สุรินทร์!J374"")"),2405)</f>
        <v>2405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IFERROR(__xludf.DUMMYFUNCTION("IMPORTRANGE(""https://docs.google.com/spreadsheets/d/1XL5vhW3sbDhbH9Cz0tuDiY8C3ctxq1tqvaCgkFb8cCA/edit?usp=sharing"",""สุรินทร์!I375"")"),0)</f>
        <v>0</v>
      </c>
      <c r="J480" s="189">
        <f ca="1">IFERROR(__xludf.DUMMYFUNCTION("IMPORTRANGE(""https://docs.google.com/spreadsheets/d/1XL5vhW3sbDhbH9Cz0tuDiY8C3ctxq1tqvaCgkFb8cCA/edit?usp=sharing"",""สุรินทร์!J375"")"),218)</f>
        <v>218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IFERROR(__xludf.DUMMYFUNCTION("IMPORTRANGE(""https://docs.google.com/spreadsheets/d/1XL5vhW3sbDhbH9Cz0tuDiY8C3ctxq1tqvaCgkFb8cCA/edit?usp=sharing"",""สุรินทร์!I376"")"),45339)</f>
        <v>45339</v>
      </c>
      <c r="J481" s="420">
        <f ca="1">IFERROR(__xludf.DUMMYFUNCTION("IMPORTRANGE(""https://docs.google.com/spreadsheets/d/1XL5vhW3sbDhbH9Cz0tuDiY8C3ctxq1tqvaCgkFb8cCA/edit?usp=sharing"",""สุรินทร์!J376"")"),0)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IFERROR(__xludf.DUMMYFUNCTION("IMPORTRANGE(""https://docs.google.com/spreadsheets/d/1XL5vhW3sbDhbH9Cz0tuDiY8C3ctxq1tqvaCgkFb8cCA/edit?usp=sharing"",""สุรินทร์!I377"")"),6353)</f>
        <v>6353</v>
      </c>
      <c r="J482" s="420">
        <f ca="1">IFERROR(__xludf.DUMMYFUNCTION("IMPORTRANGE(""https://docs.google.com/spreadsheets/d/1XL5vhW3sbDhbH9Cz0tuDiY8C3ctxq1tqvaCgkFb8cCA/edit?usp=sharing"",""สุรินทร์!J377"")"),0)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IFERROR(__xludf.DUMMYFUNCTION("IMPORTRANGE(""https://docs.google.com/spreadsheets/d/1XL5vhW3sbDhbH9Cz0tuDiY8C3ctxq1tqvaCgkFb8cCA/edit?usp=sharing"",""สุรินทร์!I378"")"),0)</f>
        <v>0</v>
      </c>
      <c r="J483" s="189">
        <f ca="1">IFERROR(__xludf.DUMMYFUNCTION("IMPORTRANGE(""https://docs.google.com/spreadsheets/d/1XL5vhW3sbDhbH9Cz0tuDiY8C3ctxq1tqvaCgkFb8cCA/edit?usp=sharing"",""สุรินทร์!J378"")"),0)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IFERROR(__xludf.DUMMYFUNCTION("IMPORTRANGE(""https://docs.google.com/spreadsheets/d/1XL5vhW3sbDhbH9Cz0tuDiY8C3ctxq1tqvaCgkFb8cCA/edit?usp=sharing"",""สุรินทร์!I379"")"),0)</f>
        <v>0</v>
      </c>
      <c r="J484" s="189">
        <f ca="1">IFERROR(__xludf.DUMMYFUNCTION("IMPORTRANGE(""https://docs.google.com/spreadsheets/d/1XL5vhW3sbDhbH9Cz0tuDiY8C3ctxq1tqvaCgkFb8cCA/edit?usp=sharing"",""สุรินทร์!J379"")"),0)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IFERROR(__xludf.DUMMYFUNCTION("IMPORTRANGE(""https://docs.google.com/spreadsheets/d/1XL5vhW3sbDhbH9Cz0tuDiY8C3ctxq1tqvaCgkFb8cCA/edit?usp=sharing"",""สุรินทร์!I380"")"),0)</f>
        <v>0</v>
      </c>
      <c r="J485" s="189">
        <f ca="1">IFERROR(__xludf.DUMMYFUNCTION("IMPORTRANGE(""https://docs.google.com/spreadsheets/d/1XL5vhW3sbDhbH9Cz0tuDiY8C3ctxq1tqvaCgkFb8cCA/edit?usp=sharing"",""สุรินทร์!J380"")"),0)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IFERROR(__xludf.DUMMYFUNCTION("IMPORTRANGE(""https://docs.google.com/spreadsheets/d/1XL5vhW3sbDhbH9Cz0tuDiY8C3ctxq1tqvaCgkFb8cCA/edit?usp=sharing"",""สุรินทร์!I381"")"),0)</f>
        <v>0</v>
      </c>
      <c r="J486" s="189">
        <f ca="1">IFERROR(__xludf.DUMMYFUNCTION("IMPORTRANGE(""https://docs.google.com/spreadsheets/d/1XL5vhW3sbDhbH9Cz0tuDiY8C3ctxq1tqvaCgkFb8cCA/edit?usp=sharing"",""สุรินทร์!J381"")"),0)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IFERROR(__xludf.DUMMYFUNCTION("IMPORTRANGE(""https://docs.google.com/spreadsheets/d/1XL5vhW3sbDhbH9Cz0tuDiY8C3ctxq1tqvaCgkFb8cCA/edit?usp=sharing"",""สุรินทร์!I382"")"),0)</f>
        <v>0</v>
      </c>
      <c r="J487" s="420">
        <f ca="1">IFERROR(__xludf.DUMMYFUNCTION("IMPORTRANGE(""https://docs.google.com/spreadsheets/d/1XL5vhW3sbDhbH9Cz0tuDiY8C3ctxq1tqvaCgkFb8cCA/edit?usp=sharing"",""สุรินทร์!J382"")"),0)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IFERROR(__xludf.DUMMYFUNCTION("IMPORTRANGE(""https://docs.google.com/spreadsheets/d/1XL5vhW3sbDhbH9Cz0tuDiY8C3ctxq1tqvaCgkFb8cCA/edit?usp=sharing"",""สุรินทร์!I383"")"),0)</f>
        <v>0</v>
      </c>
      <c r="J488" s="420">
        <f ca="1">IFERROR(__xludf.DUMMYFUNCTION("IMPORTRANGE(""https://docs.google.com/spreadsheets/d/1XL5vhW3sbDhbH9Cz0tuDiY8C3ctxq1tqvaCgkFb8cCA/edit?usp=sharing"",""สุรินทร์!J383"")"),0)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IFERROR(__xludf.DUMMYFUNCTION("IMPORTRANGE(""https://docs.google.com/spreadsheets/d/1XL5vhW3sbDhbH9Cz0tuDiY8C3ctxq1tqvaCgkFb8cCA/edit?usp=sharing"",""สุรินทร์!I384"")"),0)</f>
        <v>0</v>
      </c>
      <c r="J489" s="189">
        <f ca="1">IFERROR(__xludf.DUMMYFUNCTION("IMPORTRANGE(""https://docs.google.com/spreadsheets/d/1XL5vhW3sbDhbH9Cz0tuDiY8C3ctxq1tqvaCgkFb8cCA/edit?usp=sharing"",""สุรินทร์!J384"")"),0)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IFERROR(__xludf.DUMMYFUNCTION("IMPORTRANGE(""https://docs.google.com/spreadsheets/d/1XL5vhW3sbDhbH9Cz0tuDiY8C3ctxq1tqvaCgkFb8cCA/edit?usp=sharing"",""สุรินทร์!I385"")"),0)</f>
        <v>0</v>
      </c>
      <c r="J490" s="189">
        <f ca="1">IFERROR(__xludf.DUMMYFUNCTION("IMPORTRANGE(""https://docs.google.com/spreadsheets/d/1XL5vhW3sbDhbH9Cz0tuDiY8C3ctxq1tqvaCgkFb8cCA/edit?usp=sharing"",""สุรินทร์!J385"")"),0)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IFERROR(__xludf.DUMMYFUNCTION("IMPORTRANGE(""https://docs.google.com/spreadsheets/d/1XL5vhW3sbDhbH9Cz0tuDiY8C3ctxq1tqvaCgkFb8cCA/edit?usp=sharing"",""สุรินทร์!I386"")"),0)</f>
        <v>0</v>
      </c>
      <c r="J491" s="189">
        <f ca="1">IFERROR(__xludf.DUMMYFUNCTION("IMPORTRANGE(""https://docs.google.com/spreadsheets/d/1XL5vhW3sbDhbH9Cz0tuDiY8C3ctxq1tqvaCgkFb8cCA/edit?usp=sharing"",""สุรินทร์!J386"")"),0)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IFERROR(__xludf.DUMMYFUNCTION("IMPORTRANGE(""https://docs.google.com/spreadsheets/d/1XL5vhW3sbDhbH9Cz0tuDiY8C3ctxq1tqvaCgkFb8cCA/edit?usp=sharing"",""สุรินทร์!I387"")"),0)</f>
        <v>0</v>
      </c>
      <c r="J492" s="189">
        <f ca="1">IFERROR(__xludf.DUMMYFUNCTION("IMPORTRANGE(""https://docs.google.com/spreadsheets/d/1XL5vhW3sbDhbH9Cz0tuDiY8C3ctxq1tqvaCgkFb8cCA/edit?usp=sharing"",""สุรินทร์!J387"")"),0)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IFERROR(__xludf.DUMMYFUNCTION("IMPORTRANGE(""https://docs.google.com/spreadsheets/d/1XL5vhW3sbDhbH9Cz0tuDiY8C3ctxq1tqvaCgkFb8cCA/edit?usp=sharing"",""สุรินทร์!I388"")"),0)</f>
        <v>0</v>
      </c>
      <c r="J493" s="189">
        <f ca="1">IFERROR(__xludf.DUMMYFUNCTION("IMPORTRANGE(""https://docs.google.com/spreadsheets/d/1XL5vhW3sbDhbH9Cz0tuDiY8C3ctxq1tqvaCgkFb8cCA/edit?usp=sharing"",""สุรินทร์!J388"")"),0)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IFERROR(__xludf.DUMMYFUNCTION("IMPORTRANGE(""https://docs.google.com/spreadsheets/d/1XL5vhW3sbDhbH9Cz0tuDiY8C3ctxq1tqvaCgkFb8cCA/edit?usp=sharing"",""สุรินทร์!I389"")"),0)</f>
        <v>0</v>
      </c>
      <c r="J494" s="436">
        <f ca="1">IFERROR(__xludf.DUMMYFUNCTION("IMPORTRANGE(""https://docs.google.com/spreadsheets/d/1XL5vhW3sbDhbH9Cz0tuDiY8C3ctxq1tqvaCgkFb8cCA/edit?usp=sharing"",""สุรินทร์!J389"")"),0)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IFERROR(__xludf.DUMMYFUNCTION("IMPORTRANGE(""https://docs.google.com/spreadsheets/d/1XL5vhW3sbDhbH9Cz0tuDiY8C3ctxq1tqvaCgkFb8cCA/edit?usp=sharing"",""สุรินทร์!I390"")"),0)</f>
        <v>0</v>
      </c>
      <c r="J495" s="436">
        <f ca="1">IFERROR(__xludf.DUMMYFUNCTION("IMPORTRANGE(""https://docs.google.com/spreadsheets/d/1XL5vhW3sbDhbH9Cz0tuDiY8C3ctxq1tqvaCgkFb8cCA/edit?usp=sharing"",""สุรินทร์!J390"")"),0)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IFERROR(__xludf.DUMMYFUNCTION("IMPORTRANGE(""https://docs.google.com/spreadsheets/d/1XL5vhW3sbDhbH9Cz0tuDiY8C3ctxq1tqvaCgkFb8cCA/edit?usp=sharing"",""สุรินทร์!I391"")"),0)</f>
        <v>0</v>
      </c>
      <c r="J496" s="436">
        <f ca="1">IFERROR(__xludf.DUMMYFUNCTION("IMPORTRANGE(""https://docs.google.com/spreadsheets/d/1XL5vhW3sbDhbH9Cz0tuDiY8C3ctxq1tqvaCgkFb8cCA/edit?usp=sharing"",""สุรินทร์!J391"")"),0)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IFERROR(__xludf.DUMMYFUNCTION("IMPORTRANGE(""https://docs.google.com/spreadsheets/d/1XL5vhW3sbDhbH9Cz0tuDiY8C3ctxq1tqvaCgkFb8cCA/edit?usp=sharing"",""สุรินทร์!I392"")"),4565)</f>
        <v>4565</v>
      </c>
      <c r="J497" s="443">
        <f ca="1">IFERROR(__xludf.DUMMYFUNCTION("IMPORTRANGE(""https://docs.google.com/spreadsheets/d/1XL5vhW3sbDhbH9Cz0tuDiY8C3ctxq1tqvaCgkFb8cCA/edit?usp=sharing"",""สุรินทร์!J392"")"),2205.42)</f>
        <v>2205.42</v>
      </c>
      <c r="K497" s="444">
        <f t="shared" ca="1" si="117"/>
        <v>48.311500547645124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IFERROR(__xludf.DUMMYFUNCTION("IMPORTRANGE(""https://docs.google.com/spreadsheets/d/1XL5vhW3sbDhbH9Cz0tuDiY8C3ctxq1tqvaCgkFb8cCA/edit?usp=sharing"",""สุรินทร์!I393"")"),4565)</f>
        <v>4565</v>
      </c>
      <c r="J498" s="420">
        <f ca="1">IFERROR(__xludf.DUMMYFUNCTION("IMPORTRANGE(""https://docs.google.com/spreadsheets/d/1XL5vhW3sbDhbH9Cz0tuDiY8C3ctxq1tqvaCgkFb8cCA/edit?usp=sharing"",""สุรินทร์!J393"")"),2205.42)</f>
        <v>2205.42</v>
      </c>
      <c r="K498" s="202">
        <f t="shared" ca="1" si="117"/>
        <v>48.311500547645124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IFERROR(__xludf.DUMMYFUNCTION("IMPORTRANGE(""https://docs.google.com/spreadsheets/d/1XL5vhW3sbDhbH9Cz0tuDiY8C3ctxq1tqvaCgkFb8cCA/edit?usp=sharing"",""สุรินทร์!I394"")"),899)</f>
        <v>899</v>
      </c>
      <c r="J499" s="420">
        <f ca="1">IFERROR(__xludf.DUMMYFUNCTION("IMPORTRANGE(""https://docs.google.com/spreadsheets/d/1XL5vhW3sbDhbH9Cz0tuDiY8C3ctxq1tqvaCgkFb8cCA/edit?usp=sharing"",""สุรินทร์!J394"")"),424)</f>
        <v>424</v>
      </c>
      <c r="K499" s="202">
        <f t="shared" ca="1" si="117"/>
        <v>47.163515016685203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IFERROR(__xludf.DUMMYFUNCTION("IMPORTRANGE(""https://docs.google.com/spreadsheets/d/1XL5vhW3sbDhbH9Cz0tuDiY8C3ctxq1tqvaCgkFb8cCA/edit?usp=sharing"",""สุรินทร์!I395"")"),0)</f>
        <v>0</v>
      </c>
      <c r="J500" s="162">
        <f ca="1">IFERROR(__xludf.DUMMYFUNCTION("IMPORTRANGE(""https://docs.google.com/spreadsheets/d/1XL5vhW3sbDhbH9Cz0tuDiY8C3ctxq1tqvaCgkFb8cCA/edit?usp=sharing"",""สุรินทร์!J395"")"),1780.42)</f>
        <v>1780.42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IFERROR(__xludf.DUMMYFUNCTION("IMPORTRANGE(""https://docs.google.com/spreadsheets/d/1XL5vhW3sbDhbH9Cz0tuDiY8C3ctxq1tqvaCgkFb8cCA/edit?usp=sharing"",""สุรินทร์!I396"")"),0)</f>
        <v>0</v>
      </c>
      <c r="J501" s="162">
        <f ca="1">IFERROR(__xludf.DUMMYFUNCTION("IMPORTRANGE(""https://docs.google.com/spreadsheets/d/1XL5vhW3sbDhbH9Cz0tuDiY8C3ctxq1tqvaCgkFb8cCA/edit?usp=sharing"",""สุรินทร์!J396"")"),359)</f>
        <v>359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IFERROR(__xludf.DUMMYFUNCTION("IMPORTRANGE(""https://docs.google.com/spreadsheets/d/1XL5vhW3sbDhbH9Cz0tuDiY8C3ctxq1tqvaCgkFb8cCA/edit?usp=sharing"",""สุรินทร์!I397"")"),0)</f>
        <v>0</v>
      </c>
      <c r="J502" s="189">
        <f ca="1">IFERROR(__xludf.DUMMYFUNCTION("IMPORTRANGE(""https://docs.google.com/spreadsheets/d/1XL5vhW3sbDhbH9Cz0tuDiY8C3ctxq1tqvaCgkFb8cCA/edit?usp=sharing"",""สุรินทร์!J397"")"),1590.42)</f>
        <v>1590.42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IFERROR(__xludf.DUMMYFUNCTION("IMPORTRANGE(""https://docs.google.com/spreadsheets/d/1XL5vhW3sbDhbH9Cz0tuDiY8C3ctxq1tqvaCgkFb8cCA/edit?usp=sharing"",""สุรินทร์!I398"")"),0)</f>
        <v>0</v>
      </c>
      <c r="J503" s="198">
        <f ca="1">IFERROR(__xludf.DUMMYFUNCTION("IMPORTRANGE(""https://docs.google.com/spreadsheets/d/1XL5vhW3sbDhbH9Cz0tuDiY8C3ctxq1tqvaCgkFb8cCA/edit?usp=sharing"",""สุรินทร์!J398"")"),313)</f>
        <v>313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IFERROR(__xludf.DUMMYFUNCTION("IMPORTRANGE(""https://docs.google.com/spreadsheets/d/1XL5vhW3sbDhbH9Cz0tuDiY8C3ctxq1tqvaCgkFb8cCA/edit?usp=sharing"",""สุรินทร์!I399"")"),0)</f>
        <v>0</v>
      </c>
      <c r="J504" s="189">
        <f ca="1">IFERROR(__xludf.DUMMYFUNCTION("IMPORTRANGE(""https://docs.google.com/spreadsheets/d/1XL5vhW3sbDhbH9Cz0tuDiY8C3ctxq1tqvaCgkFb8cCA/edit?usp=sharing"",""สุรินทร์!J399"")"),190)</f>
        <v>190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IFERROR(__xludf.DUMMYFUNCTION("IMPORTRANGE(""https://docs.google.com/spreadsheets/d/1XL5vhW3sbDhbH9Cz0tuDiY8C3ctxq1tqvaCgkFb8cCA/edit?usp=sharing"",""สุรินทร์!I400"")"),0)</f>
        <v>0</v>
      </c>
      <c r="J505" s="198">
        <f ca="1">IFERROR(__xludf.DUMMYFUNCTION("IMPORTRANGE(""https://docs.google.com/spreadsheets/d/1XL5vhW3sbDhbH9Cz0tuDiY8C3ctxq1tqvaCgkFb8cCA/edit?usp=sharing"",""สุรินทร์!J400"")"),46)</f>
        <v>46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IFERROR(__xludf.DUMMYFUNCTION("IMPORTRANGE(""https://docs.google.com/spreadsheets/d/1XL5vhW3sbDhbH9Cz0tuDiY8C3ctxq1tqvaCgkFb8cCA/edit?usp=sharing"",""สุรินทร์!I401"")"),0)</f>
        <v>0</v>
      </c>
      <c r="J506" s="189">
        <f ca="1">IFERROR(__xludf.DUMMYFUNCTION("IMPORTRANGE(""https://docs.google.com/spreadsheets/d/1XL5vhW3sbDhbH9Cz0tuDiY8C3ctxq1tqvaCgkFb8cCA/edit?usp=sharing"",""สุรินทร์!J401"")"),0)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IFERROR(__xludf.DUMMYFUNCTION("IMPORTRANGE(""https://docs.google.com/spreadsheets/d/1XL5vhW3sbDhbH9Cz0tuDiY8C3ctxq1tqvaCgkFb8cCA/edit?usp=sharing"",""สุรินทร์!I402"")"),0)</f>
        <v>0</v>
      </c>
      <c r="J507" s="198">
        <f ca="1">IFERROR(__xludf.DUMMYFUNCTION("IMPORTRANGE(""https://docs.google.com/spreadsheets/d/1XL5vhW3sbDhbH9Cz0tuDiY8C3ctxq1tqvaCgkFb8cCA/edit?usp=sharing"",""สุรินทร์!J402"")"),0)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IFERROR(__xludf.DUMMYFUNCTION("IMPORTRANGE(""https://docs.google.com/spreadsheets/d/1XL5vhW3sbDhbH9Cz0tuDiY8C3ctxq1tqvaCgkFb8cCA/edit?usp=sharing"",""สุรินทร์!I403"")"),0)</f>
        <v>0</v>
      </c>
      <c r="J508" s="162">
        <f ca="1">IFERROR(__xludf.DUMMYFUNCTION("IMPORTRANGE(""https://docs.google.com/spreadsheets/d/1XL5vhW3sbDhbH9Cz0tuDiY8C3ctxq1tqvaCgkFb8cCA/edit?usp=sharing"",""สุรินทร์!J403"")"),425)</f>
        <v>425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IFERROR(__xludf.DUMMYFUNCTION("IMPORTRANGE(""https://docs.google.com/spreadsheets/d/1XL5vhW3sbDhbH9Cz0tuDiY8C3ctxq1tqvaCgkFb8cCA/edit?usp=sharing"",""สุรินทร์!I404"")"),0)</f>
        <v>0</v>
      </c>
      <c r="J509" s="162">
        <f ca="1">IFERROR(__xludf.DUMMYFUNCTION("IMPORTRANGE(""https://docs.google.com/spreadsheets/d/1XL5vhW3sbDhbH9Cz0tuDiY8C3ctxq1tqvaCgkFb8cCA/edit?usp=sharing"",""สุรินทร์!J404"")"),65)</f>
        <v>65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IFERROR(__xludf.DUMMYFUNCTION("IMPORTRANGE(""https://docs.google.com/spreadsheets/d/1XL5vhW3sbDhbH9Cz0tuDiY8C3ctxq1tqvaCgkFb8cCA/edit?usp=sharing"",""สุรินทร์!I405"")"),0)</f>
        <v>0</v>
      </c>
      <c r="J510" s="198">
        <f ca="1">IFERROR(__xludf.DUMMYFUNCTION("IMPORTRANGE(""https://docs.google.com/spreadsheets/d/1XL5vhW3sbDhbH9Cz0tuDiY8C3ctxq1tqvaCgkFb8cCA/edit?usp=sharing"",""สุรินทร์!J405"")"),425)</f>
        <v>425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IFERROR(__xludf.DUMMYFUNCTION("IMPORTRANGE(""https://docs.google.com/spreadsheets/d/1XL5vhW3sbDhbH9Cz0tuDiY8C3ctxq1tqvaCgkFb8cCA/edit?usp=sharing"",""สุรินทร์!I406"")"),0)</f>
        <v>0</v>
      </c>
      <c r="J511" s="198">
        <f ca="1">IFERROR(__xludf.DUMMYFUNCTION("IMPORTRANGE(""https://docs.google.com/spreadsheets/d/1XL5vhW3sbDhbH9Cz0tuDiY8C3ctxq1tqvaCgkFb8cCA/edit?usp=sharing"",""สุรินทร์!J406"")"),65)</f>
        <v>65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IFERROR(__xludf.DUMMYFUNCTION("IMPORTRANGE(""https://docs.google.com/spreadsheets/d/1XL5vhW3sbDhbH9Cz0tuDiY8C3ctxq1tqvaCgkFb8cCA/edit?usp=sharing"",""สุรินทร์!I407"")"),0)</f>
        <v>0</v>
      </c>
      <c r="J512" s="198">
        <f ca="1">IFERROR(__xludf.DUMMYFUNCTION("IMPORTRANGE(""https://docs.google.com/spreadsheets/d/1XL5vhW3sbDhbH9Cz0tuDiY8C3ctxq1tqvaCgkFb8cCA/edit?usp=sharing"",""สุรินทร์!J407"")"),0)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IFERROR(__xludf.DUMMYFUNCTION("IMPORTRANGE(""https://docs.google.com/spreadsheets/d/1XL5vhW3sbDhbH9Cz0tuDiY8C3ctxq1tqvaCgkFb8cCA/edit?usp=sharing"",""สุรินทร์!I408"")"),0)</f>
        <v>0</v>
      </c>
      <c r="J513" s="198">
        <f ca="1">IFERROR(__xludf.DUMMYFUNCTION("IMPORTRANGE(""https://docs.google.com/spreadsheets/d/1XL5vhW3sbDhbH9Cz0tuDiY8C3ctxq1tqvaCgkFb8cCA/edit?usp=sharing"",""สุรินทร์!J408"")"),0)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IFERROR(__xludf.DUMMYFUNCTION("IMPORTRANGE(""https://docs.google.com/spreadsheets/d/1XL5vhW3sbDhbH9Cz0tuDiY8C3ctxq1tqvaCgkFb8cCA/edit?usp=sharing"",""สุรินทร์!I409"")"),0)</f>
        <v>0</v>
      </c>
      <c r="J514" s="198">
        <f ca="1">IFERROR(__xludf.DUMMYFUNCTION("IMPORTRANGE(""https://docs.google.com/spreadsheets/d/1XL5vhW3sbDhbH9Cz0tuDiY8C3ctxq1tqvaCgkFb8cCA/edit?usp=sharing"",""สุรินทร์!J409"")"),0)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IFERROR(__xludf.DUMMYFUNCTION("IMPORTRANGE(""https://docs.google.com/spreadsheets/d/1XL5vhW3sbDhbH9Cz0tuDiY8C3ctxq1tqvaCgkFb8cCA/edit?usp=sharing"",""สุรินทร์!I410"")"),0)</f>
        <v>0</v>
      </c>
      <c r="J515" s="198">
        <f ca="1">IFERROR(__xludf.DUMMYFUNCTION("IMPORTRANGE(""https://docs.google.com/spreadsheets/d/1XL5vhW3sbDhbH9Cz0tuDiY8C3ctxq1tqvaCgkFb8cCA/edit?usp=sharing"",""สุรินทร์!J410"")"),0)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IFERROR(__xludf.DUMMYFUNCTION("IMPORTRANGE(""https://docs.google.com/spreadsheets/d/1XL5vhW3sbDhbH9Cz0tuDiY8C3ctxq1tqvaCgkFb8cCA/edit?usp=sharing"",""สุรินทร์!I411"")"),0)</f>
        <v>0</v>
      </c>
      <c r="J516" s="267">
        <f ca="1">IFERROR(__xludf.DUMMYFUNCTION("IMPORTRANGE(""https://docs.google.com/spreadsheets/d/1XL5vhW3sbDhbH9Cz0tuDiY8C3ctxq1tqvaCgkFb8cCA/edit?usp=sharing"",""สุรินทร์!J411"")"),0)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IFERROR(__xludf.DUMMYFUNCTION("IMPORTRANGE(""https://docs.google.com/spreadsheets/d/1XL5vhW3sbDhbH9Cz0tuDiY8C3ctxq1tqvaCgkFb8cCA/edit?usp=sharing"",""สุรินทร์!I412"")"),0)</f>
        <v>0</v>
      </c>
      <c r="J517" s="284">
        <f ca="1">IFERROR(__xludf.DUMMYFUNCTION("IMPORTRANGE(""https://docs.google.com/spreadsheets/d/1XL5vhW3sbDhbH9Cz0tuDiY8C3ctxq1tqvaCgkFb8cCA/edit?usp=sharing"",""สุรินทร์!J412"")"),0)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IFERROR(__xludf.DUMMYFUNCTION("IMPORTRANGE(""https://docs.google.com/spreadsheets/d/1XL5vhW3sbDhbH9Cz0tuDiY8C3ctxq1tqvaCgkFb8cCA/edit?usp=sharing"",""สุรินทร์!I413"")"),0)</f>
        <v>0</v>
      </c>
      <c r="J518" s="284">
        <f ca="1">IFERROR(__xludf.DUMMYFUNCTION("IMPORTRANGE(""https://docs.google.com/spreadsheets/d/1XL5vhW3sbDhbH9Cz0tuDiY8C3ctxq1tqvaCgkFb8cCA/edit?usp=sharing"",""สุรินทร์!J413"")"),0)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IFERROR(__xludf.DUMMYFUNCTION("IMPORTRANGE(""https://docs.google.com/spreadsheets/d/1XL5vhW3sbDhbH9Cz0tuDiY8C3ctxq1tqvaCgkFb8cCA/edit?usp=sharing"",""สุรินทร์!I414"")"),0)</f>
        <v>0</v>
      </c>
      <c r="J519" s="188">
        <f ca="1">IFERROR(__xludf.DUMMYFUNCTION("IMPORTRANGE(""https://docs.google.com/spreadsheets/d/1XL5vhW3sbDhbH9Cz0tuDiY8C3ctxq1tqvaCgkFb8cCA/edit?usp=sharing"",""สุรินทร์!J414"")"),0)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IFERROR(__xludf.DUMMYFUNCTION("IMPORTRANGE(""https://docs.google.com/spreadsheets/d/1XL5vhW3sbDhbH9Cz0tuDiY8C3ctxq1tqvaCgkFb8cCA/edit?usp=sharing"",""สุรินทร์!I415"")"),0)</f>
        <v>0</v>
      </c>
      <c r="J520" s="188">
        <f ca="1">IFERROR(__xludf.DUMMYFUNCTION("IMPORTRANGE(""https://docs.google.com/spreadsheets/d/1XL5vhW3sbDhbH9Cz0tuDiY8C3ctxq1tqvaCgkFb8cCA/edit?usp=sharing"",""สุรินทร์!J415"")"),0)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IFERROR(__xludf.DUMMYFUNCTION("IMPORTRANGE(""https://docs.google.com/spreadsheets/d/1XL5vhW3sbDhbH9Cz0tuDiY8C3ctxq1tqvaCgkFb8cCA/edit?usp=sharing"",""สุรินทร์!I416"")"),0)</f>
        <v>0</v>
      </c>
      <c r="J521" s="188">
        <f ca="1">IFERROR(__xludf.DUMMYFUNCTION("IMPORTRANGE(""https://docs.google.com/spreadsheets/d/1XL5vhW3sbDhbH9Cz0tuDiY8C3ctxq1tqvaCgkFb8cCA/edit?usp=sharing"",""สุรินทร์!J416"")"),0)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IFERROR(__xludf.DUMMYFUNCTION("IMPORTRANGE(""https://docs.google.com/spreadsheets/d/1XL5vhW3sbDhbH9Cz0tuDiY8C3ctxq1tqvaCgkFb8cCA/edit?usp=sharing"",""สุรินทร์!I417"")"),0)</f>
        <v>0</v>
      </c>
      <c r="J522" s="188">
        <f ca="1">IFERROR(__xludf.DUMMYFUNCTION("IMPORTRANGE(""https://docs.google.com/spreadsheets/d/1XL5vhW3sbDhbH9Cz0tuDiY8C3ctxq1tqvaCgkFb8cCA/edit?usp=sharing"",""สุรินทร์!J417"")"),0)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IFERROR(__xludf.DUMMYFUNCTION("IMPORTRANGE(""https://docs.google.com/spreadsheets/d/1XL5vhW3sbDhbH9Cz0tuDiY8C3ctxq1tqvaCgkFb8cCA/edit?usp=sharing"",""สุรินทร์!I418"")"),0)</f>
        <v>0</v>
      </c>
      <c r="J523" s="188">
        <f ca="1">IFERROR(__xludf.DUMMYFUNCTION("IMPORTRANGE(""https://docs.google.com/spreadsheets/d/1XL5vhW3sbDhbH9Cz0tuDiY8C3ctxq1tqvaCgkFb8cCA/edit?usp=sharing"",""สุรินทร์!J418"")"),40)</f>
        <v>40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IFERROR(__xludf.DUMMYFUNCTION("IMPORTRANGE(""https://docs.google.com/spreadsheets/d/1XL5vhW3sbDhbH9Cz0tuDiY8C3ctxq1tqvaCgkFb8cCA/edit?usp=sharing"",""สุรินทร์!I419"")"),0)</f>
        <v>0</v>
      </c>
      <c r="J524" s="188">
        <f ca="1">IFERROR(__xludf.DUMMYFUNCTION("IMPORTRANGE(""https://docs.google.com/spreadsheets/d/1XL5vhW3sbDhbH9Cz0tuDiY8C3ctxq1tqvaCgkFb8cCA/edit?usp=sharing"",""สุรินทร์!J419"")"),4)</f>
        <v>4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IFERROR(__xludf.DUMMYFUNCTION("IMPORTRANGE(""https://docs.google.com/spreadsheets/d/1XL5vhW3sbDhbH9Cz0tuDiY8C3ctxq1tqvaCgkFb8cCA/edit?usp=sharing"",""สุรินทร์!I420"")"),40)</f>
        <v>40</v>
      </c>
      <c r="J525" s="284">
        <f ca="1">IFERROR(__xludf.DUMMYFUNCTION("IMPORTRANGE(""https://docs.google.com/spreadsheets/d/1XL5vhW3sbDhbH9Cz0tuDiY8C3ctxq1tqvaCgkFb8cCA/edit?usp=sharing"",""สุรินทร์!J420"")"),0)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IFERROR(__xludf.DUMMYFUNCTION("IMPORTRANGE(""https://docs.google.com/spreadsheets/d/1XL5vhW3sbDhbH9Cz0tuDiY8C3ctxq1tqvaCgkFb8cCA/edit?usp=sharing"",""สุรินทร์!I421"")"),4)</f>
        <v>4</v>
      </c>
      <c r="J526" s="284">
        <f ca="1">IFERROR(__xludf.DUMMYFUNCTION("IMPORTRANGE(""https://docs.google.com/spreadsheets/d/1XL5vhW3sbDhbH9Cz0tuDiY8C3ctxq1tqvaCgkFb8cCA/edit?usp=sharing"",""สุรินทร์!J421"")"),0)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IFERROR(__xludf.DUMMYFUNCTION("IMPORTRANGE(""https://docs.google.com/spreadsheets/d/1XL5vhW3sbDhbH9Cz0tuDiY8C3ctxq1tqvaCgkFb8cCA/edit?usp=sharing"",""สุรินทร์!I422"")"),0)</f>
        <v>0</v>
      </c>
      <c r="J527" s="198">
        <f ca="1">IFERROR(__xludf.DUMMYFUNCTION("IMPORTRANGE(""https://docs.google.com/spreadsheets/d/1XL5vhW3sbDhbH9Cz0tuDiY8C3ctxq1tqvaCgkFb8cCA/edit?usp=sharing"",""สุรินทร์!J422"")"),0)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IFERROR(__xludf.DUMMYFUNCTION("IMPORTRANGE(""https://docs.google.com/spreadsheets/d/1XL5vhW3sbDhbH9Cz0tuDiY8C3ctxq1tqvaCgkFb8cCA/edit?usp=sharing"",""สุรินทร์!I423"")"),0)</f>
        <v>0</v>
      </c>
      <c r="J528" s="198">
        <f ca="1">IFERROR(__xludf.DUMMYFUNCTION("IMPORTRANGE(""https://docs.google.com/spreadsheets/d/1XL5vhW3sbDhbH9Cz0tuDiY8C3ctxq1tqvaCgkFb8cCA/edit?usp=sharing"",""สุรินทร์!J423"")"),0)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IFERROR(__xludf.DUMMYFUNCTION("IMPORTRANGE(""https://docs.google.com/spreadsheets/d/1XL5vhW3sbDhbH9Cz0tuDiY8C3ctxq1tqvaCgkFb8cCA/edit?usp=sharing"",""สุรินทร์!I424"")"),0)</f>
        <v>0</v>
      </c>
      <c r="J529" s="198">
        <f ca="1">IFERROR(__xludf.DUMMYFUNCTION("IMPORTRANGE(""https://docs.google.com/spreadsheets/d/1XL5vhW3sbDhbH9Cz0tuDiY8C3ctxq1tqvaCgkFb8cCA/edit?usp=sharing"",""สุรินทร์!J424"")"),0)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IFERROR(__xludf.DUMMYFUNCTION("IMPORTRANGE(""https://docs.google.com/spreadsheets/d/1XL5vhW3sbDhbH9Cz0tuDiY8C3ctxq1tqvaCgkFb8cCA/edit?usp=sharing"",""สุรินทร์!I425"")"),0)</f>
        <v>0</v>
      </c>
      <c r="J530" s="198">
        <f ca="1">IFERROR(__xludf.DUMMYFUNCTION("IMPORTRANGE(""https://docs.google.com/spreadsheets/d/1XL5vhW3sbDhbH9Cz0tuDiY8C3ctxq1tqvaCgkFb8cCA/edit?usp=sharing"",""สุรินทร์!J425"")"),0)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IFERROR(__xludf.DUMMYFUNCTION("IMPORTRANGE(""https://docs.google.com/spreadsheets/d/1XL5vhW3sbDhbH9Cz0tuDiY8C3ctxq1tqvaCgkFb8cCA/edit?usp=sharing"",""สุรินทร์!I426"")"),0)</f>
        <v>0</v>
      </c>
      <c r="J531" s="198">
        <f ca="1">IFERROR(__xludf.DUMMYFUNCTION("IMPORTRANGE(""https://docs.google.com/spreadsheets/d/1XL5vhW3sbDhbH9Cz0tuDiY8C3ctxq1tqvaCgkFb8cCA/edit?usp=sharing"",""สุรินทร์!J426"")"),0)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IFERROR(__xludf.DUMMYFUNCTION("IMPORTRANGE(""https://docs.google.com/spreadsheets/d/1XL5vhW3sbDhbH9Cz0tuDiY8C3ctxq1tqvaCgkFb8cCA/edit?usp=sharing"",""สุรินทร์!I427"")"),0)</f>
        <v>0</v>
      </c>
      <c r="J532" s="466">
        <f ca="1">IFERROR(__xludf.DUMMYFUNCTION("IMPORTRANGE(""https://docs.google.com/spreadsheets/d/1XL5vhW3sbDhbH9Cz0tuDiY8C3ctxq1tqvaCgkFb8cCA/edit?usp=sharing"",""สุรินทร์!J427"")"),0)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IFERROR(__xludf.DUMMYFUNCTION("IMPORTRANGE(""https://docs.google.com/spreadsheets/d/1XL5vhW3sbDhbH9Cz0tuDiY8C3ctxq1tqvaCgkFb8cCA/edit?usp=sharing"",""สุรินทร์!I428"")"),22)</f>
        <v>22</v>
      </c>
      <c r="J533" s="410">
        <f ca="1">IFERROR(__xludf.DUMMYFUNCTION("IMPORTRANGE(""https://docs.google.com/spreadsheets/d/1XL5vhW3sbDhbH9Cz0tuDiY8C3ctxq1tqvaCgkFb8cCA/edit?usp=sharing"",""สุรินทร์!J428"")"),22)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IFERROR(__xludf.DUMMYFUNCTION("IMPORTRANGE(""https://docs.google.com/spreadsheets/d/1XL5vhW3sbDhbH9Cz0tuDiY8C3ctxq1tqvaCgkFb8cCA/edit?usp=sharing"",""สุรินทร์!L428"")"),34340)</f>
        <v>34340</v>
      </c>
      <c r="M533" s="412"/>
      <c r="N533" s="412">
        <f ca="1">IFERROR(__xludf.DUMMYFUNCTION("IMPORTRANGE(""https://docs.google.com/spreadsheets/d/1XL5vhW3sbDhbH9Cz0tuDiY8C3ctxq1tqvaCgkFb8cCA/edit?usp=sharing"",""สุรินทร์!M428"")"),31220)</f>
        <v>31220</v>
      </c>
      <c r="O533" s="412">
        <f t="shared" ref="O533:O537" ca="1" si="118">+IF(L533&gt;0,N533*100/L533,0)</f>
        <v>90.914385556202674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IFERROR(__xludf.DUMMYFUNCTION("IMPORTRANGE(""https://docs.google.com/spreadsheets/d/1XL5vhW3sbDhbH9Cz0tuDiY8C3ctxq1tqvaCgkFb8cCA/edit?usp=sharing"",""สุรินทร์!L429"")"),0)</f>
        <v>0</v>
      </c>
      <c r="M534" s="164"/>
      <c r="N534" s="169">
        <f ca="1">IFERROR(__xludf.DUMMYFUNCTION("IMPORTRANGE(""https://docs.google.com/spreadsheets/d/1XL5vhW3sbDhbH9Cz0tuDiY8C3ctxq1tqvaCgkFb8cCA/edit?usp=sharing"",""สุรินทร์!M429"")"),0)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IFERROR(__xludf.DUMMYFUNCTION("IMPORTRANGE(""https://docs.google.com/spreadsheets/d/1XL5vhW3sbDhbH9Cz0tuDiY8C3ctxq1tqvaCgkFb8cCA/edit?usp=sharing"",""สุรินทร์!L430"")"),34340)</f>
        <v>34340</v>
      </c>
      <c r="M535" s="165"/>
      <c r="N535" s="169">
        <f ca="1">IFERROR(__xludf.DUMMYFUNCTION("IMPORTRANGE(""https://docs.google.com/spreadsheets/d/1XL5vhW3sbDhbH9Cz0tuDiY8C3ctxq1tqvaCgkFb8cCA/edit?usp=sharing"",""สุรินทร์!M430"")"),31220)</f>
        <v>31220</v>
      </c>
      <c r="O535" s="169">
        <f t="shared" ca="1" si="118"/>
        <v>90.914385556202674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IFERROR(__xludf.DUMMYFUNCTION("IMPORTRANGE(""https://docs.google.com/spreadsheets/d/1XL5vhW3sbDhbH9Cz0tuDiY8C3ctxq1tqvaCgkFb8cCA/edit?usp=sharing"",""สุรินทร์!L431"")"),0)</f>
        <v>0</v>
      </c>
      <c r="M536" s="169"/>
      <c r="N536" s="169">
        <f ca="1">IFERROR(__xludf.DUMMYFUNCTION("IMPORTRANGE(""https://docs.google.com/spreadsheets/d/1XL5vhW3sbDhbH9Cz0tuDiY8C3ctxq1tqvaCgkFb8cCA/edit?usp=sharing"",""สุรินทร์!M431"")"),0)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IFERROR(__xludf.DUMMYFUNCTION("IMPORTRANGE(""https://docs.google.com/spreadsheets/d/1XL5vhW3sbDhbH9Cz0tuDiY8C3ctxq1tqvaCgkFb8cCA/edit?usp=sharing"",""สุรินทร์!L432"")"),34340)</f>
        <v>34340</v>
      </c>
      <c r="M537" s="169"/>
      <c r="N537" s="169">
        <f ca="1">IFERROR(__xludf.DUMMYFUNCTION("IMPORTRANGE(""https://docs.google.com/spreadsheets/d/1XL5vhW3sbDhbH9Cz0tuDiY8C3ctxq1tqvaCgkFb8cCA/edit?usp=sharing"",""สุรินทร์!M432"")"),31220)</f>
        <v>31220</v>
      </c>
      <c r="O537" s="169">
        <f t="shared" ca="1" si="118"/>
        <v>90.914385556202674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IFERROR(__xludf.DUMMYFUNCTION("IMPORTRANGE(""https://docs.google.com/spreadsheets/d/1XL5vhW3sbDhbH9Cz0tuDiY8C3ctxq1tqvaCgkFb8cCA/edit?usp=sharing"",""สุรินทร์!M433"")"),15250)</f>
        <v>15250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IFERROR(__xludf.DUMMYFUNCTION("IMPORTRANGE(""https://docs.google.com/spreadsheets/d/1XL5vhW3sbDhbH9Cz0tuDiY8C3ctxq1tqvaCgkFb8cCA/edit?usp=sharing"",""สุรินทร์!M434"")"),0)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IFERROR(__xludf.DUMMYFUNCTION("IMPORTRANGE(""https://docs.google.com/spreadsheets/d/1XL5vhW3sbDhbH9Cz0tuDiY8C3ctxq1tqvaCgkFb8cCA/edit?usp=sharing"",""สุรินทร์!M435"")"),0)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IFERROR(__xludf.DUMMYFUNCTION("IMPORTRANGE(""https://docs.google.com/spreadsheets/d/1XL5vhW3sbDhbH9Cz0tuDiY8C3ctxq1tqvaCgkFb8cCA/edit?usp=sharing"",""สุรินทร์!M436"")"),15970)</f>
        <v>15970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IFERROR(__xludf.DUMMYFUNCTION("IMPORTRANGE(""https://docs.google.com/spreadsheets/d/1XL5vhW3sbDhbH9Cz0tuDiY8C3ctxq1tqvaCgkFb8cCA/edit?usp=sharing"",""สุรินทร์!J438"")"),0)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IFERROR(__xludf.DUMMYFUNCTION("IMPORTRANGE(""https://docs.google.com/spreadsheets/d/1XL5vhW3sbDhbH9Cz0tuDiY8C3ctxq1tqvaCgkFb8cCA/edit?usp=sharing"",""สุรินทร์!J439"")"),1)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IFERROR(__xludf.DUMMYFUNCTION("IMPORTRANGE(""https://docs.google.com/spreadsheets/d/1XL5vhW3sbDhbH9Cz0tuDiY8C3ctxq1tqvaCgkFb8cCA/edit?usp=sharing"",""สุรินทร์!J440"")"),1)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IFERROR(__xludf.DUMMYFUNCTION("IMPORTRANGE(""https://docs.google.com/spreadsheets/d/1XL5vhW3sbDhbH9Cz0tuDiY8C3ctxq1tqvaCgkFb8cCA/edit?usp=sharing"",""สุรินทร์!J441"")"),1)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IFERROR(__xludf.DUMMYFUNCTION("IMPORTRANGE(""https://docs.google.com/spreadsheets/d/1XL5vhW3sbDhbH9Cz0tuDiY8C3ctxq1tqvaCgkFb8cCA/edit?usp=sharing"",""สุรินทร์!I442"")"),22)</f>
        <v>22</v>
      </c>
      <c r="J547" s="189">
        <f ca="1">IFERROR(__xludf.DUMMYFUNCTION("IMPORTRANGE(""https://docs.google.com/spreadsheets/d/1XL5vhW3sbDhbH9Cz0tuDiY8C3ctxq1tqvaCgkFb8cCA/edit?usp=sharing"",""สุรินทร์!J442"")"),22)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IFERROR(__xludf.DUMMYFUNCTION("IMPORTRANGE(""https://docs.google.com/spreadsheets/d/1XL5vhW3sbDhbH9Cz0tuDiY8C3ctxq1tqvaCgkFb8cCA/edit?usp=sharing"",""สุรินทร์!J166"")"),0)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IFERROR(__xludf.DUMMYFUNCTION("IMPORTRANGE(""https://docs.google.com/spreadsheets/d/1XL5vhW3sbDhbH9Cz0tuDiY8C3ctxq1tqvaCgkFb8cCA/edit?usp=sharing"",""สุรินทร์!J444"")"),0)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IFERROR(__xludf.DUMMYFUNCTION("IMPORTRANGE(""https://docs.google.com/spreadsheets/d/1XL5vhW3sbDhbH9Cz0tuDiY8C3ctxq1tqvaCgkFb8cCA/edit?usp=sharing"",""สุรินทร์!J445"")"),0)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IFERROR(__xludf.DUMMYFUNCTION("IMPORTRANGE(""https://docs.google.com/spreadsheets/d/1XL5vhW3sbDhbH9Cz0tuDiY8C3ctxq1tqvaCgkFb8cCA/edit?usp=sharing"",""สุรินทร์!I446"")"),0)</f>
        <v>0</v>
      </c>
      <c r="J551" s="410">
        <f ca="1">IFERROR(__xludf.DUMMYFUNCTION("IMPORTRANGE(""https://docs.google.com/spreadsheets/d/1XL5vhW3sbDhbH9Cz0tuDiY8C3ctxq1tqvaCgkFb8cCA/edit?usp=sharing"",""สุรินทร์!J446"")"),0)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IFERROR(__xludf.DUMMYFUNCTION("IMPORTRANGE(""https://docs.google.com/spreadsheets/d/1XL5vhW3sbDhbH9Cz0tuDiY8C3ctxq1tqvaCgkFb8cCA/edit?usp=sharing"",""สุรินทร์!L446"")"),0)</f>
        <v>0</v>
      </c>
      <c r="M551" s="412"/>
      <c r="N551" s="412">
        <f ca="1">IFERROR(__xludf.DUMMYFUNCTION("IMPORTRANGE(""https://docs.google.com/spreadsheets/d/1XL5vhW3sbDhbH9Cz0tuDiY8C3ctxq1tqvaCgkFb8cCA/edit?usp=sharing"",""สุรินทร์!M446"")"),0)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IFERROR(__xludf.DUMMYFUNCTION("IMPORTRANGE(""https://docs.google.com/spreadsheets/d/1XL5vhW3sbDhbH9Cz0tuDiY8C3ctxq1tqvaCgkFb8cCA/edit?usp=sharing"",""สุรินทร์!L447"")"),0)</f>
        <v>0</v>
      </c>
      <c r="M552" s="164"/>
      <c r="N552" s="169">
        <f ca="1">IFERROR(__xludf.DUMMYFUNCTION("IMPORTRANGE(""https://docs.google.com/spreadsheets/d/1XL5vhW3sbDhbH9Cz0tuDiY8C3ctxq1tqvaCgkFb8cCA/edit?usp=sharing"",""สุรินทร์!M447"")"),0)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IFERROR(__xludf.DUMMYFUNCTION("IMPORTRANGE(""https://docs.google.com/spreadsheets/d/1XL5vhW3sbDhbH9Cz0tuDiY8C3ctxq1tqvaCgkFb8cCA/edit?usp=sharing"",""สุรินทร์!L448"")"),0)</f>
        <v>0</v>
      </c>
      <c r="M553" s="165"/>
      <c r="N553" s="169">
        <f ca="1">IFERROR(__xludf.DUMMYFUNCTION("IMPORTRANGE(""https://docs.google.com/spreadsheets/d/1XL5vhW3sbDhbH9Cz0tuDiY8C3ctxq1tqvaCgkFb8cCA/edit?usp=sharing"",""สุรินทร์!M448"")"),0)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IFERROR(__xludf.DUMMYFUNCTION("IMPORTRANGE(""https://docs.google.com/spreadsheets/d/1XL5vhW3sbDhbH9Cz0tuDiY8C3ctxq1tqvaCgkFb8cCA/edit?usp=sharing"",""สุรินทร์!L449"")"),0)</f>
        <v>0</v>
      </c>
      <c r="M554" s="169"/>
      <c r="N554" s="169">
        <f ca="1">IFERROR(__xludf.DUMMYFUNCTION("IMPORTRANGE(""https://docs.google.com/spreadsheets/d/1XL5vhW3sbDhbH9Cz0tuDiY8C3ctxq1tqvaCgkFb8cCA/edit?usp=sharing"",""สุรินทร์!M449"")"),0)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IFERROR(__xludf.DUMMYFUNCTION("IMPORTRANGE(""https://docs.google.com/spreadsheets/d/1XL5vhW3sbDhbH9Cz0tuDiY8C3ctxq1tqvaCgkFb8cCA/edit?usp=sharing"",""สุรินทร์!L450"")"),0)</f>
        <v>0</v>
      </c>
      <c r="M555" s="169"/>
      <c r="N555" s="169">
        <f ca="1">IFERROR(__xludf.DUMMYFUNCTION("IMPORTRANGE(""https://docs.google.com/spreadsheets/d/1XL5vhW3sbDhbH9Cz0tuDiY8C3ctxq1tqvaCgkFb8cCA/edit?usp=sharing"",""สุรินทร์!M450"")"),0)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IFERROR(__xludf.DUMMYFUNCTION("IMPORTRANGE(""https://docs.google.com/spreadsheets/d/1XL5vhW3sbDhbH9Cz0tuDiY8C3ctxq1tqvaCgkFb8cCA/edit?usp=sharing"",""สุรินทร์!M451"")"),0)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IFERROR(__xludf.DUMMYFUNCTION("IMPORTRANGE(""https://docs.google.com/spreadsheets/d/1XL5vhW3sbDhbH9Cz0tuDiY8C3ctxq1tqvaCgkFb8cCA/edit?usp=sharing"",""สุรินทร์!M452"")"),0)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IFERROR(__xludf.DUMMYFUNCTION("IMPORTRANGE(""https://docs.google.com/spreadsheets/d/1XL5vhW3sbDhbH9Cz0tuDiY8C3ctxq1tqvaCgkFb8cCA/edit?usp=sharing"",""สุรินทร์!M453"")"),0)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IFERROR(__xludf.DUMMYFUNCTION("IMPORTRANGE(""https://docs.google.com/spreadsheets/d/1XL5vhW3sbDhbH9Cz0tuDiY8C3ctxq1tqvaCgkFb8cCA/edit?usp=sharing"",""สุรินทร์!M454"")"),0)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IFERROR(__xludf.DUMMYFUNCTION("IMPORTRANGE(""https://docs.google.com/spreadsheets/d/1XL5vhW3sbDhbH9Cz0tuDiY8C3ctxq1tqvaCgkFb8cCA/edit?usp=sharing"",""สุรินทร์!I455"")"),0)</f>
        <v>0</v>
      </c>
      <c r="J560" s="162">
        <f ca="1">IFERROR(__xludf.DUMMYFUNCTION("IMPORTRANGE(""https://docs.google.com/spreadsheets/d/1XL5vhW3sbDhbH9Cz0tuDiY8C3ctxq1tqvaCgkFb8cCA/edit?usp=sharing"",""สุรินทร์!J455"")"),0)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IFERROR(__xludf.DUMMYFUNCTION("IMPORTRANGE(""https://docs.google.com/spreadsheets/d/1XL5vhW3sbDhbH9Cz0tuDiY8C3ctxq1tqvaCgkFb8cCA/edit?usp=sharing"",""สุรินทร์!I456"")"),0)</f>
        <v>0</v>
      </c>
      <c r="J561" s="204">
        <f ca="1">IFERROR(__xludf.DUMMYFUNCTION("IMPORTRANGE(""https://docs.google.com/spreadsheets/d/1XL5vhW3sbDhbH9Cz0tuDiY8C3ctxq1tqvaCgkFb8cCA/edit?usp=sharing"",""สุรินทร์!J456"")"),0)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IFERROR(__xludf.DUMMYFUNCTION("IMPORTRANGE(""https://docs.google.com/spreadsheets/d/1XL5vhW3sbDhbH9Cz0tuDiY8C3ctxq1tqvaCgkFb8cCA/edit?usp=sharing"",""สุรินทร์!I459"")"),5500)</f>
        <v>5500</v>
      </c>
      <c r="J564" s="371">
        <f ca="1">IFERROR(__xludf.DUMMYFUNCTION("IMPORTRANGE(""https://docs.google.com/spreadsheets/d/1XL5vhW3sbDhbH9Cz0tuDiY8C3ctxq1tqvaCgkFb8cCA/edit?usp=sharing"",""สุรินทร์!J459"")"),4718)</f>
        <v>4718</v>
      </c>
      <c r="K564" s="372">
        <f ca="1">IF(I564&gt;0,J564*100/I564,0)</f>
        <v>85.781818181818181</v>
      </c>
      <c r="L564" s="373">
        <f ca="1">IFERROR(__xludf.DUMMYFUNCTION("IMPORTRANGE(""https://docs.google.com/spreadsheets/d/1XL5vhW3sbDhbH9Cz0tuDiY8C3ctxq1tqvaCgkFb8cCA/edit?usp=sharing"",""สุรินทร์!L459"")"),163200)</f>
        <v>163200</v>
      </c>
      <c r="M564" s="373"/>
      <c r="N564" s="373">
        <f ca="1">IFERROR(__xludf.DUMMYFUNCTION("IMPORTRANGE(""https://docs.google.com/spreadsheets/d/1XL5vhW3sbDhbH9Cz0tuDiY8C3ctxq1tqvaCgkFb8cCA/edit?usp=sharing"",""สุรินทร์!M459"")"),95030.8)</f>
        <v>95030.8</v>
      </c>
      <c r="O564" s="373">
        <f t="shared" ref="O564:O568" ca="1" si="122">+IF(L564&gt;0,N564*100/L564,0)</f>
        <v>58.229656862745095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IFERROR(__xludf.DUMMYFUNCTION("IMPORTRANGE(""https://docs.google.com/spreadsheets/d/1XL5vhW3sbDhbH9Cz0tuDiY8C3ctxq1tqvaCgkFb8cCA/edit?usp=sharing"",""สุรินทร์!L460"")"),0)</f>
        <v>0</v>
      </c>
      <c r="M565" s="164"/>
      <c r="N565" s="169">
        <f ca="1">IFERROR(__xludf.DUMMYFUNCTION("IMPORTRANGE(""https://docs.google.com/spreadsheets/d/1XL5vhW3sbDhbH9Cz0tuDiY8C3ctxq1tqvaCgkFb8cCA/edit?usp=sharing"",""สุรินทร์!M460"")"),0)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IFERROR(__xludf.DUMMYFUNCTION("IMPORTRANGE(""https://docs.google.com/spreadsheets/d/1XL5vhW3sbDhbH9Cz0tuDiY8C3ctxq1tqvaCgkFb8cCA/edit?usp=sharing"",""สุรินทร์!L461"")"),163200)</f>
        <v>163200</v>
      </c>
      <c r="M566" s="165"/>
      <c r="N566" s="169">
        <f ca="1">IFERROR(__xludf.DUMMYFUNCTION("IMPORTRANGE(""https://docs.google.com/spreadsheets/d/1XL5vhW3sbDhbH9Cz0tuDiY8C3ctxq1tqvaCgkFb8cCA/edit?usp=sharing"",""สุรินทร์!M461"")"),95030.8)</f>
        <v>95030.8</v>
      </c>
      <c r="O566" s="169">
        <f t="shared" ca="1" si="122"/>
        <v>58.229656862745095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IFERROR(__xludf.DUMMYFUNCTION("IMPORTRANGE(""https://docs.google.com/spreadsheets/d/1XL5vhW3sbDhbH9Cz0tuDiY8C3ctxq1tqvaCgkFb8cCA/edit?usp=sharing"",""สุรินทร์!L462"")"),0)</f>
        <v>0</v>
      </c>
      <c r="M567" s="169"/>
      <c r="N567" s="169">
        <f ca="1">IFERROR(__xludf.DUMMYFUNCTION("IMPORTRANGE(""https://docs.google.com/spreadsheets/d/1XL5vhW3sbDhbH9Cz0tuDiY8C3ctxq1tqvaCgkFb8cCA/edit?usp=sharing"",""สุรินทร์!M462"")"),0)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IFERROR(__xludf.DUMMYFUNCTION("IMPORTRANGE(""https://docs.google.com/spreadsheets/d/1XL5vhW3sbDhbH9Cz0tuDiY8C3ctxq1tqvaCgkFb8cCA/edit?usp=sharing"",""สุรินทร์!L463"")"),163200)</f>
        <v>163200</v>
      </c>
      <c r="M568" s="169"/>
      <c r="N568" s="169">
        <f ca="1">IFERROR(__xludf.DUMMYFUNCTION("IMPORTRANGE(""https://docs.google.com/spreadsheets/d/1XL5vhW3sbDhbH9Cz0tuDiY8C3ctxq1tqvaCgkFb8cCA/edit?usp=sharing"",""สุรินทร์!M463"")"),95030.8)</f>
        <v>95030.8</v>
      </c>
      <c r="O568" s="169">
        <f t="shared" ca="1" si="122"/>
        <v>58.229656862745095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IFERROR(__xludf.DUMMYFUNCTION("IMPORTRANGE(""https://docs.google.com/spreadsheets/d/1XL5vhW3sbDhbH9Cz0tuDiY8C3ctxq1tqvaCgkFb8cCA/edit?usp=sharing"",""สุรินทร์!M464"")"),0)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IFERROR(__xludf.DUMMYFUNCTION("IMPORTRANGE(""https://docs.google.com/spreadsheets/d/1XL5vhW3sbDhbH9Cz0tuDiY8C3ctxq1tqvaCgkFb8cCA/edit?usp=sharing"",""สุรินทร์!M465"")"),0)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IFERROR(__xludf.DUMMYFUNCTION("IMPORTRANGE(""https://docs.google.com/spreadsheets/d/1XL5vhW3sbDhbH9Cz0tuDiY8C3ctxq1tqvaCgkFb8cCA/edit?usp=sharing"",""สุรินทร์!M466"")"),62451)</f>
        <v>62451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IFERROR(__xludf.DUMMYFUNCTION("IMPORTRANGE(""https://docs.google.com/spreadsheets/d/1XL5vhW3sbDhbH9Cz0tuDiY8C3ctxq1tqvaCgkFb8cCA/edit?usp=sharing"",""สุรินทร์!M467"")"),32579.8)</f>
        <v>32579.8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IFERROR(__xludf.DUMMYFUNCTION("IMPORTRANGE(""https://docs.google.com/spreadsheets/d/1XL5vhW3sbDhbH9Cz0tuDiY8C3ctxq1tqvaCgkFb8cCA/edit?usp=sharing"",""สุรินทร์!I468"")"),5500)</f>
        <v>5500</v>
      </c>
      <c r="J573" s="420">
        <f ca="1">IFERROR(__xludf.DUMMYFUNCTION("IMPORTRANGE(""https://docs.google.com/spreadsheets/d/1XL5vhW3sbDhbH9Cz0tuDiY8C3ctxq1tqvaCgkFb8cCA/edit?usp=sharing"",""สุรินทร์!J468"")"),4718)</f>
        <v>4718</v>
      </c>
      <c r="K573" s="202">
        <f ca="1">IF(I573&gt;0,J573*100/I573,0)</f>
        <v>85.781818181818181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IFERROR(__xludf.DUMMYFUNCTION("IMPORTRANGE(""https://docs.google.com/spreadsheets/d/1XL5vhW3sbDhbH9Cz0tuDiY8C3ctxq1tqvaCgkFb8cCA/edit?usp=sharing"",""สุรินทร์!I470"")"),0)</f>
        <v>0</v>
      </c>
      <c r="J575" s="198">
        <f ca="1">IFERROR(__xludf.DUMMYFUNCTION("IMPORTRANGE(""https://docs.google.com/spreadsheets/d/1XL5vhW3sbDhbH9Cz0tuDiY8C3ctxq1tqvaCgkFb8cCA/edit?usp=sharing"",""สุรินทร์!J470"")"),6)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IFERROR(__xludf.DUMMYFUNCTION("IMPORTRANGE(""https://docs.google.com/spreadsheets/d/1XL5vhW3sbDhbH9Cz0tuDiY8C3ctxq1tqvaCgkFb8cCA/edit?usp=sharing"",""สุรินทร์!I471"")"),0)</f>
        <v>0</v>
      </c>
      <c r="J576" s="198">
        <f ca="1">IFERROR(__xludf.DUMMYFUNCTION("IMPORTRANGE(""https://docs.google.com/spreadsheets/d/1XL5vhW3sbDhbH9Cz0tuDiY8C3ctxq1tqvaCgkFb8cCA/edit?usp=sharing"",""สุรินทร์!J471"")"),867)</f>
        <v>867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IFERROR(__xludf.DUMMYFUNCTION("IMPORTRANGE(""https://docs.google.com/spreadsheets/d/1XL5vhW3sbDhbH9Cz0tuDiY8C3ctxq1tqvaCgkFb8cCA/edit?usp=sharing"",""สุรินทร์!I472"")"),0)</f>
        <v>0</v>
      </c>
      <c r="J577" s="189">
        <f ca="1">IFERROR(__xludf.DUMMYFUNCTION("IMPORTRANGE(""https://docs.google.com/spreadsheets/d/1XL5vhW3sbDhbH9Cz0tuDiY8C3ctxq1tqvaCgkFb8cCA/edit?usp=sharing"",""สุรินทร์!J472"")"),3851)</f>
        <v>3851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IFERROR(__xludf.DUMMYFUNCTION("IMPORTRANGE(""https://docs.google.com/spreadsheets/d/1XL5vhW3sbDhbH9Cz0tuDiY8C3ctxq1tqvaCgkFb8cCA/edit?usp=sharing"",""สุรินทร์!I473"")"),0)</f>
        <v>0</v>
      </c>
      <c r="J578" s="198">
        <f ca="1">IFERROR(__xludf.DUMMYFUNCTION("IMPORTRANGE(""https://docs.google.com/spreadsheets/d/1XL5vhW3sbDhbH9Cz0tuDiY8C3ctxq1tqvaCgkFb8cCA/edit?usp=sharing"",""สุรินทร์!J473"")"),0)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IFERROR(__xludf.DUMMYFUNCTION("IMPORTRANGE(""https://docs.google.com/spreadsheets/d/1XL5vhW3sbDhbH9Cz0tuDiY8C3ctxq1tqvaCgkFb8cCA/edit?usp=sharing"",""สุรินทร์!I474"")"),0)</f>
        <v>0</v>
      </c>
      <c r="J579" s="198">
        <f ca="1">IFERROR(__xludf.DUMMYFUNCTION("IMPORTRANGE(""https://docs.google.com/spreadsheets/d/1XL5vhW3sbDhbH9Cz0tuDiY8C3ctxq1tqvaCgkFb8cCA/edit?usp=sharing"",""สุรินทร์!J474"")"),0)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IFERROR(__xludf.DUMMYFUNCTION("IMPORTRANGE(""https://docs.google.com/spreadsheets/d/1XL5vhW3sbDhbH9Cz0tuDiY8C3ctxq1tqvaCgkFb8cCA/edit?usp=sharing"",""สุรินทร์!I475"")"),100)</f>
        <v>100</v>
      </c>
      <c r="J580" s="371">
        <f ca="1">IFERROR(__xludf.DUMMYFUNCTION("IMPORTRANGE(""https://docs.google.com/spreadsheets/d/1XL5vhW3sbDhbH9Cz0tuDiY8C3ctxq1tqvaCgkFb8cCA/edit?usp=sharing"",""สุรินทร์!J475"")"),3)</f>
        <v>3</v>
      </c>
      <c r="K580" s="372">
        <f ca="1">IF(I580&gt;0,J580*100/I580,0)</f>
        <v>3</v>
      </c>
      <c r="L580" s="373">
        <f ca="1">IFERROR(__xludf.DUMMYFUNCTION("IMPORTRANGE(""https://docs.google.com/spreadsheets/d/1XL5vhW3sbDhbH9Cz0tuDiY8C3ctxq1tqvaCgkFb8cCA/edit?usp=sharing"",""สุรินทร์!L475"")"),321600)</f>
        <v>321600</v>
      </c>
      <c r="M580" s="373"/>
      <c r="N580" s="373">
        <f ca="1">IFERROR(__xludf.DUMMYFUNCTION("IMPORTRANGE(""https://docs.google.com/spreadsheets/d/1XL5vhW3sbDhbH9Cz0tuDiY8C3ctxq1tqvaCgkFb8cCA/edit?usp=sharing"",""สุรินทร์!M475"")"),112445)</f>
        <v>112445</v>
      </c>
      <c r="O580" s="373">
        <f t="shared" ref="O580:O584" ca="1" si="124">+IF(L580&gt;0,N580*100/L580,0)</f>
        <v>34.964241293532339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IFERROR(__xludf.DUMMYFUNCTION("IMPORTRANGE(""https://docs.google.com/spreadsheets/d/1XL5vhW3sbDhbH9Cz0tuDiY8C3ctxq1tqvaCgkFb8cCA/edit?usp=sharing"",""สุรินทร์!L476"")"),0)</f>
        <v>0</v>
      </c>
      <c r="M581" s="164"/>
      <c r="N581" s="169">
        <f ca="1">IFERROR(__xludf.DUMMYFUNCTION("IMPORTRANGE(""https://docs.google.com/spreadsheets/d/1XL5vhW3sbDhbH9Cz0tuDiY8C3ctxq1tqvaCgkFb8cCA/edit?usp=sharing"",""สุรินทร์!M476"")"),0)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IFERROR(__xludf.DUMMYFUNCTION("IMPORTRANGE(""https://docs.google.com/spreadsheets/d/1XL5vhW3sbDhbH9Cz0tuDiY8C3ctxq1tqvaCgkFb8cCA/edit?usp=sharing"",""สุรินทร์!L477"")"),321600)</f>
        <v>321600</v>
      </c>
      <c r="M582" s="165"/>
      <c r="N582" s="169">
        <f ca="1">IFERROR(__xludf.DUMMYFUNCTION("IMPORTRANGE(""https://docs.google.com/spreadsheets/d/1XL5vhW3sbDhbH9Cz0tuDiY8C3ctxq1tqvaCgkFb8cCA/edit?usp=sharing"",""สุรินทร์!M477"")"),112445)</f>
        <v>112445</v>
      </c>
      <c r="O582" s="169">
        <f t="shared" ca="1" si="124"/>
        <v>34.964241293532339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IFERROR(__xludf.DUMMYFUNCTION("IMPORTRANGE(""https://docs.google.com/spreadsheets/d/1XL5vhW3sbDhbH9Cz0tuDiY8C3ctxq1tqvaCgkFb8cCA/edit?usp=sharing"",""สุรินทร์!L478"")"),0)</f>
        <v>0</v>
      </c>
      <c r="M583" s="169"/>
      <c r="N583" s="169">
        <f ca="1">IFERROR(__xludf.DUMMYFUNCTION("IMPORTRANGE(""https://docs.google.com/spreadsheets/d/1XL5vhW3sbDhbH9Cz0tuDiY8C3ctxq1tqvaCgkFb8cCA/edit?usp=sharing"",""สุรินทร์!M478"")"),0)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IFERROR(__xludf.DUMMYFUNCTION("IMPORTRANGE(""https://docs.google.com/spreadsheets/d/1XL5vhW3sbDhbH9Cz0tuDiY8C3ctxq1tqvaCgkFb8cCA/edit?usp=sharing"",""สุรินทร์!L479"")"),321600)</f>
        <v>321600</v>
      </c>
      <c r="M584" s="169"/>
      <c r="N584" s="169">
        <f ca="1">IFERROR(__xludf.DUMMYFUNCTION("IMPORTRANGE(""https://docs.google.com/spreadsheets/d/1XL5vhW3sbDhbH9Cz0tuDiY8C3ctxq1tqvaCgkFb8cCA/edit?usp=sharing"",""สุรินทร์!M479"")"),112445)</f>
        <v>112445</v>
      </c>
      <c r="O584" s="169">
        <f t="shared" ca="1" si="124"/>
        <v>34.964241293532339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IFERROR(__xludf.DUMMYFUNCTION("IMPORTRANGE(""https://docs.google.com/spreadsheets/d/1XL5vhW3sbDhbH9Cz0tuDiY8C3ctxq1tqvaCgkFb8cCA/edit?usp=sharing"",""สุรินทร์!M480"")"),0)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IFERROR(__xludf.DUMMYFUNCTION("IMPORTRANGE(""https://docs.google.com/spreadsheets/d/1XL5vhW3sbDhbH9Cz0tuDiY8C3ctxq1tqvaCgkFb8cCA/edit?usp=sharing"",""สุรินทร์!M481"")"),0)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IFERROR(__xludf.DUMMYFUNCTION("IMPORTRANGE(""https://docs.google.com/spreadsheets/d/1XL5vhW3sbDhbH9Cz0tuDiY8C3ctxq1tqvaCgkFb8cCA/edit?usp=sharing"",""สุรินทร์!M482"")"),64935)</f>
        <v>64935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IFERROR(__xludf.DUMMYFUNCTION("IMPORTRANGE(""https://docs.google.com/spreadsheets/d/1XL5vhW3sbDhbH9Cz0tuDiY8C3ctxq1tqvaCgkFb8cCA/edit?usp=sharing"",""สุรินทร์!M483"")"),47510)</f>
        <v>47510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IFERROR(__xludf.DUMMYFUNCTION("IMPORTRANGE(""https://docs.google.com/spreadsheets/d/1XL5vhW3sbDhbH9Cz0tuDiY8C3ctxq1tqvaCgkFb8cCA/edit?usp=sharing"",""สุรินทร์!I484"")"),100)</f>
        <v>100</v>
      </c>
      <c r="J589" s="188">
        <f ca="1">IFERROR(__xludf.DUMMYFUNCTION("IMPORTRANGE(""https://docs.google.com/spreadsheets/d/1XL5vhW3sbDhbH9Cz0tuDiY8C3ctxq1tqvaCgkFb8cCA/edit?usp=sharing"",""สุรินทร์!J484"")"),38)</f>
        <v>38</v>
      </c>
      <c r="K589" s="163">
        <f t="shared" ref="K589:K596" ca="1" si="125">IF(I589&gt;0,J589*100/I589,0)</f>
        <v>38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IFERROR(__xludf.DUMMYFUNCTION("IMPORTRANGE(""https://docs.google.com/spreadsheets/d/1XL5vhW3sbDhbH9Cz0tuDiY8C3ctxq1tqvaCgkFb8cCA/edit?usp=sharing"",""สุรินทร์!I485"")"),0)</f>
        <v>0</v>
      </c>
      <c r="J590" s="188">
        <f ca="1">IFERROR(__xludf.DUMMYFUNCTION("IMPORTRANGE(""https://docs.google.com/spreadsheets/d/1XL5vhW3sbDhbH9Cz0tuDiY8C3ctxq1tqvaCgkFb8cCA/edit?usp=sharing"",""สุรินทร์!J485"")"),40.14)</f>
        <v>40.14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IFERROR(__xludf.DUMMYFUNCTION("IMPORTRANGE(""https://docs.google.com/spreadsheets/d/1XL5vhW3sbDhbH9Cz0tuDiY8C3ctxq1tqvaCgkFb8cCA/edit?usp=sharing"",""สุรินทร์!I486"")"),100)</f>
        <v>100</v>
      </c>
      <c r="J591" s="188">
        <f ca="1">IFERROR(__xludf.DUMMYFUNCTION("IMPORTRANGE(""https://docs.google.com/spreadsheets/d/1XL5vhW3sbDhbH9Cz0tuDiY8C3ctxq1tqvaCgkFb8cCA/edit?usp=sharing"",""สุรินทร์!J486"")"),0)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IFERROR(__xludf.DUMMYFUNCTION("IMPORTRANGE(""https://docs.google.com/spreadsheets/d/1XL5vhW3sbDhbH9Cz0tuDiY8C3ctxq1tqvaCgkFb8cCA/edit?usp=sharing"",""สุรินทร์!I487"")"),0)</f>
        <v>0</v>
      </c>
      <c r="J592" s="188">
        <f ca="1">IFERROR(__xludf.DUMMYFUNCTION("IMPORTRANGE(""https://docs.google.com/spreadsheets/d/1XL5vhW3sbDhbH9Cz0tuDiY8C3ctxq1tqvaCgkFb8cCA/edit?usp=sharing"",""สุรินทร์!J487"")"),0)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IFERROR(__xludf.DUMMYFUNCTION("IMPORTRANGE(""https://docs.google.com/spreadsheets/d/1XL5vhW3sbDhbH9Cz0tuDiY8C3ctxq1tqvaCgkFb8cCA/edit?usp=sharing"",""สุรินทร์!I488"")"),100)</f>
        <v>100</v>
      </c>
      <c r="J593" s="188">
        <f ca="1">IFERROR(__xludf.DUMMYFUNCTION("IMPORTRANGE(""https://docs.google.com/spreadsheets/d/1XL5vhW3sbDhbH9Cz0tuDiY8C3ctxq1tqvaCgkFb8cCA/edit?usp=sharing"",""สุรินทร์!J488"")"),0)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IFERROR(__xludf.DUMMYFUNCTION("IMPORTRANGE(""https://docs.google.com/spreadsheets/d/1XL5vhW3sbDhbH9Cz0tuDiY8C3ctxq1tqvaCgkFb8cCA/edit?usp=sharing"",""สุรินทร์!I489"")"),0)</f>
        <v>0</v>
      </c>
      <c r="J594" s="188">
        <f ca="1">IFERROR(__xludf.DUMMYFUNCTION("IMPORTRANGE(""https://docs.google.com/spreadsheets/d/1XL5vhW3sbDhbH9Cz0tuDiY8C3ctxq1tqvaCgkFb8cCA/edit?usp=sharing"",""สุรินทร์!J489"")"),0)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IFERROR(__xludf.DUMMYFUNCTION("IMPORTRANGE(""https://docs.google.com/spreadsheets/d/1XL5vhW3sbDhbH9Cz0tuDiY8C3ctxq1tqvaCgkFb8cCA/edit?usp=sharing"",""สุรินทร์!I490"")"),100)</f>
        <v>100</v>
      </c>
      <c r="J595" s="188">
        <f ca="1">IFERROR(__xludf.DUMMYFUNCTION("IMPORTRANGE(""https://docs.google.com/spreadsheets/d/1XL5vhW3sbDhbH9Cz0tuDiY8C3ctxq1tqvaCgkFb8cCA/edit?usp=sharing"",""สุรินทร์!J490"")"),3)</f>
        <v>3</v>
      </c>
      <c r="K595" s="163">
        <f t="shared" ca="1" si="125"/>
        <v>3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IFERROR(__xludf.DUMMYFUNCTION("IMPORTRANGE(""https://docs.google.com/spreadsheets/d/1XL5vhW3sbDhbH9Cz0tuDiY8C3ctxq1tqvaCgkFb8cCA/edit?usp=sharing"",""สุรินทร์!I491"")"),0)</f>
        <v>0</v>
      </c>
      <c r="J596" s="241">
        <f ca="1">IFERROR(__xludf.DUMMYFUNCTION("IMPORTRANGE(""https://docs.google.com/spreadsheets/d/1XL5vhW3sbDhbH9Cz0tuDiY8C3ctxq1tqvaCgkFb8cCA/edit?usp=sharing"",""สุรินทร์!J491"")"),6.12)</f>
        <v>6.12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IFERROR(__xludf.DUMMYFUNCTION("IMPORTRANGE(""https://docs.google.com/spreadsheets/d/1XL5vhW3sbDhbH9Cz0tuDiY8C3ctxq1tqvaCgkFb8cCA/edit?usp=sharing"",""สุรินทร์!I492"")"),200)</f>
        <v>200</v>
      </c>
      <c r="J597" s="487">
        <f ca="1">IFERROR(__xludf.DUMMYFUNCTION("IMPORTRANGE(""https://docs.google.com/spreadsheets/d/1XL5vhW3sbDhbH9Cz0tuDiY8C3ctxq1tqvaCgkFb8cCA/edit?usp=sharing"",""สุรินทร์!J492"")"),0)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IFERROR(__xludf.DUMMYFUNCTION("IMPORTRANGE(""https://docs.google.com/spreadsheets/d/1XL5vhW3sbDhbH9Cz0tuDiY8C3ctxq1tqvaCgkFb8cCA/edit?usp=sharing"",""สุรินทร์!L492"")"),21600)</f>
        <v>21600</v>
      </c>
      <c r="M597" s="412"/>
      <c r="N597" s="412">
        <f ca="1">IFERROR(__xludf.DUMMYFUNCTION("IMPORTRANGE(""https://docs.google.com/spreadsheets/d/1XL5vhW3sbDhbH9Cz0tuDiY8C3ctxq1tqvaCgkFb8cCA/edit?usp=sharing"",""สุรินทร์!M492"")"),9915)</f>
        <v>9915</v>
      </c>
      <c r="O597" s="412">
        <f t="shared" ref="O597:O601" ca="1" si="126">+IF(L597&gt;0,N597*100/L597,0)</f>
        <v>45.902777777777779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IFERROR(__xludf.DUMMYFUNCTION("IMPORTRANGE(""https://docs.google.com/spreadsheets/d/1XL5vhW3sbDhbH9Cz0tuDiY8C3ctxq1tqvaCgkFb8cCA/edit?usp=sharing"",""สุรินทร์!L493"")"),0)</f>
        <v>0</v>
      </c>
      <c r="M598" s="164"/>
      <c r="N598" s="169">
        <f ca="1">IFERROR(__xludf.DUMMYFUNCTION("IMPORTRANGE(""https://docs.google.com/spreadsheets/d/1XL5vhW3sbDhbH9Cz0tuDiY8C3ctxq1tqvaCgkFb8cCA/edit?usp=sharing"",""สุรินทร์!M493"")"),0)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IFERROR(__xludf.DUMMYFUNCTION("IMPORTRANGE(""https://docs.google.com/spreadsheets/d/1XL5vhW3sbDhbH9Cz0tuDiY8C3ctxq1tqvaCgkFb8cCA/edit?usp=sharing"",""สุรินทร์!L494"")"),21600)</f>
        <v>21600</v>
      </c>
      <c r="M599" s="165"/>
      <c r="N599" s="169">
        <f ca="1">IFERROR(__xludf.DUMMYFUNCTION("IMPORTRANGE(""https://docs.google.com/spreadsheets/d/1XL5vhW3sbDhbH9Cz0tuDiY8C3ctxq1tqvaCgkFb8cCA/edit?usp=sharing"",""สุรินทร์!M494"")"),9915)</f>
        <v>9915</v>
      </c>
      <c r="O599" s="169">
        <f t="shared" ca="1" si="126"/>
        <v>45.902777777777779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IFERROR(__xludf.DUMMYFUNCTION("IMPORTRANGE(""https://docs.google.com/spreadsheets/d/1XL5vhW3sbDhbH9Cz0tuDiY8C3ctxq1tqvaCgkFb8cCA/edit?usp=sharing"",""สุรินทร์!L495"")"),0)</f>
        <v>0</v>
      </c>
      <c r="M600" s="169"/>
      <c r="N600" s="169">
        <f ca="1">IFERROR(__xludf.DUMMYFUNCTION("IMPORTRANGE(""https://docs.google.com/spreadsheets/d/1XL5vhW3sbDhbH9Cz0tuDiY8C3ctxq1tqvaCgkFb8cCA/edit?usp=sharing"",""สุรินทร์!M495"")"),0)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IFERROR(__xludf.DUMMYFUNCTION("IMPORTRANGE(""https://docs.google.com/spreadsheets/d/1XL5vhW3sbDhbH9Cz0tuDiY8C3ctxq1tqvaCgkFb8cCA/edit?usp=sharing"",""สุรินทร์!L496"")"),21600)</f>
        <v>21600</v>
      </c>
      <c r="M601" s="169"/>
      <c r="N601" s="169">
        <f ca="1">IFERROR(__xludf.DUMMYFUNCTION("IMPORTRANGE(""https://docs.google.com/spreadsheets/d/1XL5vhW3sbDhbH9Cz0tuDiY8C3ctxq1tqvaCgkFb8cCA/edit?usp=sharing"",""สุรินทร์!M496"")"),9915)</f>
        <v>9915</v>
      </c>
      <c r="O601" s="169">
        <f t="shared" ca="1" si="126"/>
        <v>45.902777777777779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IFERROR(__xludf.DUMMYFUNCTION("IMPORTRANGE(""https://docs.google.com/spreadsheets/d/1XL5vhW3sbDhbH9Cz0tuDiY8C3ctxq1tqvaCgkFb8cCA/edit?usp=sharing"",""สุรินทร์!M497"")"),0)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IFERROR(__xludf.DUMMYFUNCTION("IMPORTRANGE(""https://docs.google.com/spreadsheets/d/1XL5vhW3sbDhbH9Cz0tuDiY8C3ctxq1tqvaCgkFb8cCA/edit?usp=sharing"",""สุรินทร์!M498"")"),0)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IFERROR(__xludf.DUMMYFUNCTION("IMPORTRANGE(""https://docs.google.com/spreadsheets/d/1XL5vhW3sbDhbH9Cz0tuDiY8C3ctxq1tqvaCgkFb8cCA/edit?usp=sharing"",""สุรินทร์!M499"")"),0)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IFERROR(__xludf.DUMMYFUNCTION("IMPORTRANGE(""https://docs.google.com/spreadsheets/d/1XL5vhW3sbDhbH9Cz0tuDiY8C3ctxq1tqvaCgkFb8cCA/edit?usp=sharing"",""สุรินทร์!M500"")"),9915)</f>
        <v>9915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IFERROR(__xludf.DUMMYFUNCTION("IMPORTRANGE(""https://docs.google.com/spreadsheets/d/1XL5vhW3sbDhbH9Cz0tuDiY8C3ctxq1tqvaCgkFb8cCA/edit?usp=sharing"",""สุรินทร์!J502"")"),0)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IFERROR(__xludf.DUMMYFUNCTION("IMPORTRANGE(""https://docs.google.com/spreadsheets/d/1XL5vhW3sbDhbH9Cz0tuDiY8C3ctxq1tqvaCgkFb8cCA/edit?usp=sharing"",""สุรินทร์!J503"")"),1)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539"/>
      <c r="B609" s="540"/>
      <c r="C609" s="540"/>
      <c r="D609" s="541"/>
      <c r="E609" s="542" t="s">
        <v>46</v>
      </c>
      <c r="F609" s="543"/>
      <c r="G609" s="544"/>
      <c r="H609" s="545"/>
      <c r="I609" s="546"/>
      <c r="J609" s="546">
        <f ca="1">IFERROR(__xludf.DUMMYFUNCTION("IMPORTRANGE(""https://docs.google.com/spreadsheets/d/1XL5vhW3sbDhbH9Cz0tuDiY8C3ctxq1tqvaCgkFb8cCA/edit?usp=sharing"",""สุรินทร์!J166"")"),0)</f>
        <v>0</v>
      </c>
      <c r="K609" s="547"/>
      <c r="L609" s="548"/>
      <c r="M609" s="548"/>
      <c r="N609" s="548"/>
      <c r="O609" s="548"/>
      <c r="P609" s="548"/>
    </row>
    <row r="610" spans="1:16" ht="21.75" hidden="1" customHeight="1" x14ac:dyDescent="0.35">
      <c r="A610" s="539"/>
      <c r="B610" s="540"/>
      <c r="C610" s="540"/>
      <c r="D610" s="541"/>
      <c r="E610" s="542" t="s">
        <v>47</v>
      </c>
      <c r="F610" s="543"/>
      <c r="G610" s="544"/>
      <c r="H610" s="545"/>
      <c r="I610" s="546"/>
      <c r="J610" s="546">
        <f ca="1">IFERROR(__xludf.DUMMYFUNCTION("IMPORTRANGE(""https://docs.google.com/spreadsheets/d/1XL5vhW3sbDhbH9Cz0tuDiY8C3ctxq1tqvaCgkFb8cCA/edit?usp=sharing"",""สุรินทร์!J166"")"),0)</f>
        <v>0</v>
      </c>
      <c r="K610" s="547"/>
      <c r="L610" s="548"/>
      <c r="M610" s="548"/>
      <c r="N610" s="548"/>
      <c r="O610" s="548"/>
      <c r="P610" s="548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IFERROR(__xludf.DUMMYFUNCTION("IMPORTRANGE(""https://docs.google.com/spreadsheets/d/1XL5vhW3sbDhbH9Cz0tuDiY8C3ctxq1tqvaCgkFb8cCA/edit?usp=sharing"",""สุรินทร์!I506"")"),200)</f>
        <v>200</v>
      </c>
      <c r="J611" s="162">
        <f ca="1">IFERROR(__xludf.DUMMYFUNCTION("IMPORTRANGE(""https://docs.google.com/spreadsheets/d/1XL5vhW3sbDhbH9Cz0tuDiY8C3ctxq1tqvaCgkFb8cCA/edit?usp=sharing"",""สุรินทร์!J506"")"),0)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IFERROR(__xludf.DUMMYFUNCTION("IMPORTRANGE(""https://docs.google.com/spreadsheets/d/1XL5vhW3sbDhbH9Cz0tuDiY8C3ctxq1tqvaCgkFb8cCA/edit?usp=sharing"",""สุรินทร์!I507"")"),0)</f>
        <v>0</v>
      </c>
      <c r="J612" s="198">
        <f ca="1">IFERROR(__xludf.DUMMYFUNCTION("IMPORTRANGE(""https://docs.google.com/spreadsheets/d/1XL5vhW3sbDhbH9Cz0tuDiY8C3ctxq1tqvaCgkFb8cCA/edit?usp=sharing"",""สุรินทร์!J507"")"),129)</f>
        <v>129</v>
      </c>
      <c r="K612" s="163">
        <f t="shared" ca="1" si="127"/>
        <v>64.5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IFERROR(__xludf.DUMMYFUNCTION("IMPORTRANGE(""https://docs.google.com/spreadsheets/d/1XL5vhW3sbDhbH9Cz0tuDiY8C3ctxq1tqvaCgkFb8cCA/edit?usp=sharing"",""สุรินทร์!I508"")"),0)</f>
        <v>0</v>
      </c>
      <c r="J613" s="198">
        <f ca="1">IFERROR(__xludf.DUMMYFUNCTION("IMPORTRANGE(""https://docs.google.com/spreadsheets/d/1XL5vhW3sbDhbH9Cz0tuDiY8C3ctxq1tqvaCgkFb8cCA/edit?usp=sharing"",""สุรินทร์!J508"")"),129)</f>
        <v>129</v>
      </c>
      <c r="K613" s="163">
        <f t="shared" ca="1" si="127"/>
        <v>64.5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IFERROR(__xludf.DUMMYFUNCTION("IMPORTRANGE(""https://docs.google.com/spreadsheets/d/1XL5vhW3sbDhbH9Cz0tuDiY8C3ctxq1tqvaCgkFb8cCA/edit?usp=sharing"",""สุรินทร์!I509"")"),0)</f>
        <v>0</v>
      </c>
      <c r="J614" s="198">
        <f ca="1">IFERROR(__xludf.DUMMYFUNCTION("IMPORTRANGE(""https://docs.google.com/spreadsheets/d/1XL5vhW3sbDhbH9Cz0tuDiY8C3ctxq1tqvaCgkFb8cCA/edit?usp=sharing"",""สุรินทร์!J509"")"),129)</f>
        <v>129</v>
      </c>
      <c r="K614" s="163">
        <f t="shared" ca="1" si="127"/>
        <v>64.5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IFERROR(__xludf.DUMMYFUNCTION("IMPORTRANGE(""https://docs.google.com/spreadsheets/d/1XL5vhW3sbDhbH9Cz0tuDiY8C3ctxq1tqvaCgkFb8cCA/edit?usp=sharing"",""สุรินทร์!I510"")"),0)</f>
        <v>0</v>
      </c>
      <c r="J615" s="198">
        <f ca="1">IFERROR(__xludf.DUMMYFUNCTION("IMPORTRANGE(""https://docs.google.com/spreadsheets/d/1XL5vhW3sbDhbH9Cz0tuDiY8C3ctxq1tqvaCgkFb8cCA/edit?usp=sharing"",""สุรินทร์!J510"")"),129)</f>
        <v>129</v>
      </c>
      <c r="K615" s="163">
        <f t="shared" ca="1" si="127"/>
        <v>64.5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IFERROR(__xludf.DUMMYFUNCTION("IMPORTRANGE(""https://docs.google.com/spreadsheets/d/1XL5vhW3sbDhbH9Cz0tuDiY8C3ctxq1tqvaCgkFb8cCA/edit?usp=sharing"",""สุรินทร์!I511"")"),0)</f>
        <v>0</v>
      </c>
      <c r="J616" s="198">
        <f ca="1">IFERROR(__xludf.DUMMYFUNCTION("IMPORTRANGE(""https://docs.google.com/spreadsheets/d/1XL5vhW3sbDhbH9Cz0tuDiY8C3ctxq1tqvaCgkFb8cCA/edit?usp=sharing"",""สุรินทร์!J511"")"),129)</f>
        <v>129</v>
      </c>
      <c r="K616" s="163">
        <f t="shared" ca="1" si="127"/>
        <v>64.5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IFERROR(__xludf.DUMMYFUNCTION("IMPORTRANGE(""https://docs.google.com/spreadsheets/d/1XL5vhW3sbDhbH9Cz0tuDiY8C3ctxq1tqvaCgkFb8cCA/edit?usp=sharing"",""สุรินทร์!I512"")"),0)</f>
        <v>0</v>
      </c>
      <c r="J617" s="188">
        <f ca="1">IFERROR(__xludf.DUMMYFUNCTION("IMPORTRANGE(""https://docs.google.com/spreadsheets/d/1XL5vhW3sbDhbH9Cz0tuDiY8C3ctxq1tqvaCgkFb8cCA/edit?usp=sharing"",""สุรินทร์!J512"")"),0)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IFERROR(__xludf.DUMMYFUNCTION("IMPORTRANGE(""https://docs.google.com/spreadsheets/d/1XL5vhW3sbDhbH9Cz0tuDiY8C3ctxq1tqvaCgkFb8cCA/edit?usp=sharing"",""สุรินทร์!I513"")"),0)</f>
        <v>0</v>
      </c>
      <c r="J618" s="189">
        <f ca="1">IFERROR(__xludf.DUMMYFUNCTION("IMPORTRANGE(""https://docs.google.com/spreadsheets/d/1XL5vhW3sbDhbH9Cz0tuDiY8C3ctxq1tqvaCgkFb8cCA/edit?usp=sharing"",""สุรินทร์!J513"")"),0)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IFERROR(__xludf.DUMMYFUNCTION("IMPORTRANGE(""https://docs.google.com/spreadsheets/d/1XL5vhW3sbDhbH9Cz0tuDiY8C3ctxq1tqvaCgkFb8cCA/edit?usp=sharing"",""สุรินทร์!I514"")"),0)</f>
        <v>0</v>
      </c>
      <c r="J619" s="189">
        <f ca="1">IFERROR(__xludf.DUMMYFUNCTION("IMPORTRANGE(""https://docs.google.com/spreadsheets/d/1XL5vhW3sbDhbH9Cz0tuDiY8C3ctxq1tqvaCgkFb8cCA/edit?usp=sharing"",""สุรินทร์!J514"")"),0)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IFERROR(__xludf.DUMMYFUNCTION("IMPORTRANGE(""https://docs.google.com/spreadsheets/d/1XL5vhW3sbDhbH9Cz0tuDiY8C3ctxq1tqvaCgkFb8cCA/edit?usp=sharing"",""สุรินทร์!I515"")"),48)</f>
        <v>48</v>
      </c>
      <c r="J620" s="203">
        <f ca="1">IFERROR(__xludf.DUMMYFUNCTION("IMPORTRANGE(""https://docs.google.com/spreadsheets/d/1XL5vhW3sbDhbH9Cz0tuDiY8C3ctxq1tqvaCgkFb8cCA/edit?usp=sharing"",""สุรินทร์!J515"")"),0)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IFERROR(__xludf.DUMMYFUNCTION("IMPORTRANGE(""https://docs.google.com/spreadsheets/d/1XL5vhW3sbDhbH9Cz0tuDiY8C3ctxq1tqvaCgkFb8cCA/edit?usp=sharing"",""สุรินทร์!I516"")"),0)</f>
        <v>0</v>
      </c>
      <c r="J621" s="203">
        <f ca="1">IFERROR(__xludf.DUMMYFUNCTION("IMPORTRANGE(""https://docs.google.com/spreadsheets/d/1XL5vhW3sbDhbH9Cz0tuDiY8C3ctxq1tqvaCgkFb8cCA/edit?usp=sharing"",""สุรินทร์!J516"")"),0)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IFERROR(__xludf.DUMMYFUNCTION("IMPORTRANGE(""https://docs.google.com/spreadsheets/d/1XL5vhW3sbDhbH9Cz0tuDiY8C3ctxq1tqvaCgkFb8cCA/edit?usp=sharing"",""สุรินทร์!I517"")"),0)</f>
        <v>0</v>
      </c>
      <c r="J622" s="189">
        <f ca="1">IFERROR(__xludf.DUMMYFUNCTION("IMPORTRANGE(""https://docs.google.com/spreadsheets/d/1XL5vhW3sbDhbH9Cz0tuDiY8C3ctxq1tqvaCgkFb8cCA/edit?usp=sharing"",""สุรินทร์!J517"")"),0)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IFERROR(__xludf.DUMMYFUNCTION("IMPORTRANGE(""https://docs.google.com/spreadsheets/d/1XL5vhW3sbDhbH9Cz0tuDiY8C3ctxq1tqvaCgkFb8cCA/edit?usp=sharing"",""สุรินทร์!I518"")"),0)</f>
        <v>0</v>
      </c>
      <c r="J623" s="189">
        <f ca="1">IFERROR(__xludf.DUMMYFUNCTION("IMPORTRANGE(""https://docs.google.com/spreadsheets/d/1XL5vhW3sbDhbH9Cz0tuDiY8C3ctxq1tqvaCgkFb8cCA/edit?usp=sharing"",""สุรินทร์!J518"")"),0)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IFERROR(__xludf.DUMMYFUNCTION("IMPORTRANGE(""https://docs.google.com/spreadsheets/d/1XL5vhW3sbDhbH9Cz0tuDiY8C3ctxq1tqvaCgkFb8cCA/edit?usp=sharing"",""สุรินทร์!I519"")"),0)</f>
        <v>0</v>
      </c>
      <c r="J624" s="188">
        <f ca="1">IFERROR(__xludf.DUMMYFUNCTION("IMPORTRANGE(""https://docs.google.com/spreadsheets/d/1XL5vhW3sbDhbH9Cz0tuDiY8C3ctxq1tqvaCgkFb8cCA/edit?usp=sharing"",""สุรินทร์!J519"")"),0)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IFERROR(__xludf.DUMMYFUNCTION("IMPORTRANGE(""https://docs.google.com/spreadsheets/d/1XL5vhW3sbDhbH9Cz0tuDiY8C3ctxq1tqvaCgkFb8cCA/edit?usp=sharing"",""สุรินทร์!I520"")"),0)</f>
        <v>0</v>
      </c>
      <c r="J625" s="189">
        <f ca="1">IFERROR(__xludf.DUMMYFUNCTION("IMPORTRANGE(""https://docs.google.com/spreadsheets/d/1XL5vhW3sbDhbH9Cz0tuDiY8C3ctxq1tqvaCgkFb8cCA/edit?usp=sharing"",""สุรินทร์!J520"")"),0)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IFERROR(__xludf.DUMMYFUNCTION("IMPORTRANGE(""https://docs.google.com/spreadsheets/d/1XL5vhW3sbDhbH9Cz0tuDiY8C3ctxq1tqvaCgkFb8cCA/edit?usp=sharing"",""สุรินทร์!I521"")"),0)</f>
        <v>0</v>
      </c>
      <c r="J626" s="189">
        <f ca="1">IFERROR(__xludf.DUMMYFUNCTION("IMPORTRANGE(""https://docs.google.com/spreadsheets/d/1XL5vhW3sbDhbH9Cz0tuDiY8C3ctxq1tqvaCgkFb8cCA/edit?usp=sharing"",""สุรินทร์!J521"")"),0)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IFERROR(__xludf.DUMMYFUNCTION("IMPORTRANGE(""https://docs.google.com/spreadsheets/d/1XL5vhW3sbDhbH9Cz0tuDiY8C3ctxq1tqvaCgkFb8cCA/edit?usp=sharing"",""สุรินทร์!I523"")"),5644536.7)</f>
        <v>5644536.7000000002</v>
      </c>
      <c r="J628" s="341">
        <f ca="1">IFERROR(__xludf.DUMMYFUNCTION("IMPORTRANGE(""https://docs.google.com/spreadsheets/d/1XL5vhW3sbDhbH9Cz0tuDiY8C3ctxq1tqvaCgkFb8cCA/edit?usp=sharing"",""สุรินทร์!J523"")"),3327792.66)</f>
        <v>3327792.66</v>
      </c>
      <c r="K628" s="342">
        <f t="shared" ref="K628:K635" ca="1" si="129">IF(I628&gt;0,J628*100/I628,0)</f>
        <v>58.955992969272394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IFERROR(__xludf.DUMMYFUNCTION("IMPORTRANGE(""https://docs.google.com/spreadsheets/d/1XL5vhW3sbDhbH9Cz0tuDiY8C3ctxq1tqvaCgkFb8cCA/edit?usp=sharing"",""สุรินทร์!I524"")"),315)</f>
        <v>315</v>
      </c>
      <c r="J629" s="341">
        <f ca="1">IFERROR(__xludf.DUMMYFUNCTION("IMPORTRANGE(""https://docs.google.com/spreadsheets/d/1XL5vhW3sbDhbH9Cz0tuDiY8C3ctxq1tqvaCgkFb8cCA/edit?usp=sharing"",""สุรินทร์!J524"")"),178)</f>
        <v>178</v>
      </c>
      <c r="K629" s="342">
        <f t="shared" ca="1" si="129"/>
        <v>56.507936507936506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IFERROR(__xludf.DUMMYFUNCTION("IMPORTRANGE(""https://docs.google.com/spreadsheets/d/1XL5vhW3sbDhbH9Cz0tuDiY8C3ctxq1tqvaCgkFb8cCA/edit?usp=sharing"",""สุรินทร์!I525"")"),6686075.64)</f>
        <v>6686075.6399999997</v>
      </c>
      <c r="J630" s="341">
        <f ca="1">IFERROR(__xludf.DUMMYFUNCTION("IMPORTRANGE(""https://docs.google.com/spreadsheets/d/1XL5vhW3sbDhbH9Cz0tuDiY8C3ctxq1tqvaCgkFb8cCA/edit?usp=sharing"",""สุรินทร์!J525"")"),261395.35)</f>
        <v>261395.35</v>
      </c>
      <c r="K630" s="342">
        <f t="shared" ca="1" si="129"/>
        <v>3.9095482024789061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IFERROR(__xludf.DUMMYFUNCTION("IMPORTRANGE(""https://docs.google.com/spreadsheets/d/1XL5vhW3sbDhbH9Cz0tuDiY8C3ctxq1tqvaCgkFb8cCA/edit?usp=sharing"",""สุรินทร์!I526"")"),420)</f>
        <v>420</v>
      </c>
      <c r="J631" s="341">
        <f ca="1">IFERROR(__xludf.DUMMYFUNCTION("IMPORTRANGE(""https://docs.google.com/spreadsheets/d/1XL5vhW3sbDhbH9Cz0tuDiY8C3ctxq1tqvaCgkFb8cCA/edit?usp=sharing"",""สุรินทร์!J526"")"),70)</f>
        <v>70</v>
      </c>
      <c r="K631" s="342">
        <f t="shared" ca="1" si="129"/>
        <v>16.666666666666668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IFERROR(__xludf.DUMMYFUNCTION("IMPORTRANGE(""https://docs.google.com/spreadsheets/d/1XL5vhW3sbDhbH9Cz0tuDiY8C3ctxq1tqvaCgkFb8cCA/edit?usp=sharing"",""สุรินทร์!I527"")"),0)</f>
        <v>0</v>
      </c>
      <c r="J632" s="341">
        <f ca="1">IFERROR(__xludf.DUMMYFUNCTION("IMPORTRANGE(""https://docs.google.com/spreadsheets/d/1XL5vhW3sbDhbH9Cz0tuDiY8C3ctxq1tqvaCgkFb8cCA/edit?usp=sharing"",""สุรินทร์!J527"")"),195799.13)</f>
        <v>195799.13</v>
      </c>
      <c r="K632" s="342">
        <f t="shared" ca="1" si="129"/>
        <v>0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IFERROR(__xludf.DUMMYFUNCTION("IMPORTRANGE(""https://docs.google.com/spreadsheets/d/1XL5vhW3sbDhbH9Cz0tuDiY8C3ctxq1tqvaCgkFb8cCA/edit?usp=sharing"",""สุรินทร์!I528"")"),0)</f>
        <v>0</v>
      </c>
      <c r="J633" s="341">
        <f ca="1">IFERROR(__xludf.DUMMYFUNCTION("IMPORTRANGE(""https://docs.google.com/spreadsheets/d/1XL5vhW3sbDhbH9Cz0tuDiY8C3ctxq1tqvaCgkFb8cCA/edit?usp=sharing"",""สุรินทร์!J528"")"),15)</f>
        <v>15</v>
      </c>
      <c r="K633" s="342">
        <f t="shared" ca="1" si="129"/>
        <v>0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IFERROR(__xludf.DUMMYFUNCTION("IMPORTRANGE(""https://docs.google.com/spreadsheets/d/1XL5vhW3sbDhbH9Cz0tuDiY8C3ctxq1tqvaCgkFb8cCA/edit?usp=sharing"",""สุรินทร์!I529"")"),6000000)</f>
        <v>6000000</v>
      </c>
      <c r="J634" s="341">
        <f ca="1">IFERROR(__xludf.DUMMYFUNCTION("IMPORTRANGE(""https://docs.google.com/spreadsheets/d/1XL5vhW3sbDhbH9Cz0tuDiY8C3ctxq1tqvaCgkFb8cCA/edit?usp=sharing"",""สุรินทร์!J529"")"),1045000)</f>
        <v>1045000</v>
      </c>
      <c r="K634" s="342">
        <f t="shared" ca="1" si="129"/>
        <v>17.416666666666668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IFERROR(__xludf.DUMMYFUNCTION("IMPORTRANGE(""https://docs.google.com/spreadsheets/d/1XL5vhW3sbDhbH9Cz0tuDiY8C3ctxq1tqvaCgkFb8cCA/edit?usp=sharing"",""สุรินทร์!I530"")"),310)</f>
        <v>310</v>
      </c>
      <c r="J635" s="504">
        <f ca="1">IFERROR(__xludf.DUMMYFUNCTION("IMPORTRANGE(""https://docs.google.com/spreadsheets/d/1XL5vhW3sbDhbH9Cz0tuDiY8C3ctxq1tqvaCgkFb8cCA/edit?usp=sharing"",""สุรินทร์!J530"")"),50)</f>
        <v>50</v>
      </c>
      <c r="K635" s="486">
        <f t="shared" ca="1" si="129"/>
        <v>16.129032258064516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49" t="s">
        <v>237</v>
      </c>
      <c r="F636" s="549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8">
    <mergeCell ref="D278:E278"/>
    <mergeCell ref="A1:P1"/>
    <mergeCell ref="A2:P2"/>
    <mergeCell ref="A3:P3"/>
    <mergeCell ref="D250:G250"/>
    <mergeCell ref="D253:F253"/>
    <mergeCell ref="D257:E257"/>
    <mergeCell ref="D271:G271"/>
    <mergeCell ref="D274:F274"/>
    <mergeCell ref="D143:F143"/>
    <mergeCell ref="D147:E147"/>
    <mergeCell ref="D220:G220"/>
    <mergeCell ref="D223:F223"/>
    <mergeCell ref="D227:E227"/>
    <mergeCell ref="D101:E101"/>
    <mergeCell ref="D118:G118"/>
    <mergeCell ref="D121:F121"/>
    <mergeCell ref="D125:E125"/>
    <mergeCell ref="D140:G140"/>
    <mergeCell ref="D60:E60"/>
    <mergeCell ref="D66:G66"/>
    <mergeCell ref="D73:E73"/>
    <mergeCell ref="D94:G94"/>
    <mergeCell ref="D97:F97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D332:F332"/>
    <mergeCell ref="D336:E336"/>
    <mergeCell ref="D290:G290"/>
    <mergeCell ref="D293:F293"/>
    <mergeCell ref="D297:E297"/>
    <mergeCell ref="D310:G310"/>
    <mergeCell ref="D313:F313"/>
    <mergeCell ref="D317:E317"/>
    <mergeCell ref="D329:G329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12" sqref="J12"/>
      <selection pane="bottomLeft" activeCell="G558" sqref="G558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56" t="s">
        <v>0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</row>
    <row r="2" spans="1:16" ht="18" customHeight="1" x14ac:dyDescent="0.35">
      <c r="A2" s="556" t="s">
        <v>268</v>
      </c>
      <c r="B2" s="556"/>
      <c r="C2" s="556"/>
      <c r="D2" s="556"/>
      <c r="E2" s="556"/>
      <c r="F2" s="556"/>
      <c r="G2" s="556"/>
      <c r="H2" s="556"/>
      <c r="I2" s="556"/>
      <c r="J2" s="556"/>
      <c r="K2" s="556"/>
      <c r="L2" s="556"/>
      <c r="M2" s="556"/>
      <c r="N2" s="556"/>
      <c r="O2" s="556"/>
      <c r="P2" s="556"/>
    </row>
    <row r="3" spans="1:16" ht="18" customHeight="1" x14ac:dyDescent="0.35">
      <c r="A3" s="556" t="s">
        <v>278</v>
      </c>
      <c r="B3" s="556"/>
      <c r="C3" s="556"/>
      <c r="D3" s="556"/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6"/>
      <c r="P3" s="55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79" t="s">
        <v>2</v>
      </c>
      <c r="B5" s="565"/>
      <c r="C5" s="565"/>
      <c r="D5" s="565"/>
      <c r="E5" s="565"/>
      <c r="F5" s="565"/>
      <c r="G5" s="566"/>
      <c r="H5" s="578" t="s">
        <v>3</v>
      </c>
      <c r="I5" s="559" t="s">
        <v>4</v>
      </c>
      <c r="J5" s="560"/>
      <c r="K5" s="561"/>
      <c r="L5" s="562" t="s">
        <v>5</v>
      </c>
      <c r="M5" s="561"/>
      <c r="N5" s="563" t="s">
        <v>6</v>
      </c>
      <c r="O5" s="560"/>
      <c r="P5" s="561"/>
    </row>
    <row r="6" spans="1:16" ht="21.75" customHeight="1" x14ac:dyDescent="0.35">
      <c r="A6" s="567"/>
      <c r="B6" s="568"/>
      <c r="C6" s="568"/>
      <c r="D6" s="568"/>
      <c r="E6" s="568"/>
      <c r="F6" s="568"/>
      <c r="G6" s="569"/>
      <c r="H6" s="55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80" t="s">
        <v>15</v>
      </c>
      <c r="B7" s="560"/>
      <c r="C7" s="560"/>
      <c r="D7" s="560"/>
      <c r="E7" s="560"/>
      <c r="F7" s="560"/>
      <c r="G7" s="561"/>
      <c r="H7" s="512"/>
      <c r="I7" s="513"/>
      <c r="J7" s="513"/>
      <c r="K7" s="514"/>
      <c r="L7" s="515"/>
      <c r="M7" s="514"/>
      <c r="N7" s="515"/>
      <c r="O7" s="516"/>
      <c r="P7" s="516"/>
    </row>
    <row r="8" spans="1:16" ht="21.75" customHeight="1" x14ac:dyDescent="0.45">
      <c r="A8" s="17"/>
      <c r="B8" s="18"/>
      <c r="C8" s="19" t="s">
        <v>16</v>
      </c>
      <c r="D8" s="571" t="s">
        <v>17</v>
      </c>
      <c r="E8" s="555"/>
      <c r="F8" s="555"/>
      <c r="G8" s="555"/>
      <c r="H8" s="20" t="s">
        <v>12</v>
      </c>
      <c r="I8" s="21"/>
      <c r="J8" s="21"/>
      <c r="K8" s="22"/>
      <c r="L8" s="23">
        <f t="shared" ref="L8:N8" ca="1" si="0">L9+L10</f>
        <v>6819951</v>
      </c>
      <c r="M8" s="23">
        <f t="shared" ca="1" si="0"/>
        <v>3422384.84</v>
      </c>
      <c r="N8" s="23">
        <f t="shared" ca="1" si="0"/>
        <v>3187345.87</v>
      </c>
      <c r="O8" s="22">
        <f t="shared" ref="O8:O16" ca="1" si="1">IF(L8&gt;0,N8*100/L8,0)</f>
        <v>46.735612469942964</v>
      </c>
      <c r="P8" s="22">
        <f t="shared" ref="P8:P16" ca="1" si="2">IF(M8&gt;0,N8*100/M8,0)</f>
        <v>93.132304489754574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6819951</v>
      </c>
      <c r="M10" s="30">
        <f t="shared" ca="1" si="4"/>
        <v>3422384.84</v>
      </c>
      <c r="N10" s="30">
        <f t="shared" ca="1" si="4"/>
        <v>3187345.87</v>
      </c>
      <c r="O10" s="29">
        <f t="shared" ca="1" si="1"/>
        <v>46.735612469942964</v>
      </c>
      <c r="P10" s="29">
        <f t="shared" ca="1" si="2"/>
        <v>93.132304489754574</v>
      </c>
    </row>
    <row r="11" spans="1:16" ht="21.75" customHeight="1" x14ac:dyDescent="0.45">
      <c r="A11" s="31"/>
      <c r="B11" s="32"/>
      <c r="C11" s="33" t="s">
        <v>16</v>
      </c>
      <c r="D11" s="572" t="s">
        <v>20</v>
      </c>
      <c r="E11" s="553"/>
      <c r="F11" s="55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6353151</v>
      </c>
      <c r="M12" s="38">
        <f t="shared" ca="1" si="6"/>
        <v>2955584.84</v>
      </c>
      <c r="N12" s="38">
        <f t="shared" ca="1" si="6"/>
        <v>2720545.87</v>
      </c>
      <c r="O12" s="38">
        <f t="shared" ca="1" si="1"/>
        <v>42.821992897697534</v>
      </c>
      <c r="P12" s="38">
        <f t="shared" ca="1" si="2"/>
        <v>92.047632440826845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2251400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4101751</v>
      </c>
      <c r="M14" s="38">
        <f t="shared" si="8"/>
        <v>0</v>
      </c>
      <c r="N14" s="38">
        <f t="shared" ca="1" si="8"/>
        <v>879627.16</v>
      </c>
      <c r="O14" s="38">
        <f t="shared" ca="1" si="1"/>
        <v>21.445162322139982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2" t="s">
        <v>23</v>
      </c>
      <c r="E15" s="55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466800</v>
      </c>
      <c r="M16" s="38">
        <f t="shared" ca="1" si="10"/>
        <v>466800</v>
      </c>
      <c r="N16" s="38">
        <f t="shared" ca="1" si="10"/>
        <v>466800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80" t="s">
        <v>24</v>
      </c>
      <c r="B17" s="560"/>
      <c r="C17" s="560"/>
      <c r="D17" s="560"/>
      <c r="E17" s="560"/>
      <c r="F17" s="560"/>
      <c r="G17" s="561"/>
      <c r="H17" s="512"/>
      <c r="I17" s="513"/>
      <c r="J17" s="513"/>
      <c r="K17" s="514"/>
      <c r="L17" s="515"/>
      <c r="M17" s="514"/>
      <c r="N17" s="515"/>
      <c r="O17" s="516"/>
      <c r="P17" s="516"/>
    </row>
    <row r="18" spans="1:16" ht="21.75" customHeight="1" x14ac:dyDescent="0.45">
      <c r="A18" s="17"/>
      <c r="B18" s="18"/>
      <c r="C18" s="19" t="s">
        <v>16</v>
      </c>
      <c r="D18" s="571" t="s">
        <v>17</v>
      </c>
      <c r="E18" s="555"/>
      <c r="F18" s="555"/>
      <c r="G18" s="555"/>
      <c r="H18" s="20" t="s">
        <v>12</v>
      </c>
      <c r="I18" s="21"/>
      <c r="J18" s="21"/>
      <c r="K18" s="22"/>
      <c r="L18" s="23">
        <f t="shared" ref="L18:N18" ca="1" si="11">L19+L20</f>
        <v>4277095</v>
      </c>
      <c r="M18" s="23">
        <f t="shared" ca="1" si="11"/>
        <v>3422384.84</v>
      </c>
      <c r="N18" s="23">
        <f t="shared" ca="1" si="11"/>
        <v>2307718.71</v>
      </c>
      <c r="O18" s="22">
        <f t="shared" ref="O18:O20" ca="1" si="12">IF(L18&gt;0,N18*100/L18,0)</f>
        <v>53.955282966592982</v>
      </c>
      <c r="P18" s="22">
        <f t="shared" ref="P18:P26" ca="1" si="13">IF(M18&gt;0,N18*100/M18,0)</f>
        <v>67.430134771167346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4277095</v>
      </c>
      <c r="M20" s="30">
        <f t="shared" ca="1" si="15"/>
        <v>3422384.84</v>
      </c>
      <c r="N20" s="30">
        <f t="shared" ca="1" si="15"/>
        <v>2307718.71</v>
      </c>
      <c r="O20" s="29">
        <f t="shared" ca="1" si="12"/>
        <v>53.955282966592982</v>
      </c>
      <c r="P20" s="29">
        <f t="shared" ca="1" si="13"/>
        <v>67.430134771167346</v>
      </c>
    </row>
    <row r="21" spans="1:16" ht="21.75" customHeight="1" x14ac:dyDescent="0.45">
      <c r="A21" s="31"/>
      <c r="B21" s="32"/>
      <c r="C21" s="33" t="s">
        <v>16</v>
      </c>
      <c r="D21" s="572" t="s">
        <v>20</v>
      </c>
      <c r="E21" s="553"/>
      <c r="F21" s="55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3810295</v>
      </c>
      <c r="M22" s="41">
        <f t="shared" ca="1" si="18"/>
        <v>2955584.84</v>
      </c>
      <c r="N22" s="38">
        <f t="shared" ca="1" si="18"/>
        <v>1840918.71</v>
      </c>
      <c r="O22" s="38">
        <f t="shared" ca="1" si="17"/>
        <v>48.314335504206369</v>
      </c>
      <c r="P22" s="38">
        <f t="shared" ca="1" si="13"/>
        <v>62.286106123077829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2251400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1558895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2" t="s">
        <v>23</v>
      </c>
      <c r="E25" s="55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466800</v>
      </c>
      <c r="M26" s="49">
        <f t="shared" ca="1" si="22"/>
        <v>466800</v>
      </c>
      <c r="N26" s="49">
        <f t="shared" ca="1" si="22"/>
        <v>466800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80" t="s">
        <v>25</v>
      </c>
      <c r="B27" s="560"/>
      <c r="C27" s="560"/>
      <c r="D27" s="560"/>
      <c r="E27" s="560"/>
      <c r="F27" s="560"/>
      <c r="G27" s="561"/>
      <c r="H27" s="512"/>
      <c r="I27" s="513"/>
      <c r="J27" s="513"/>
      <c r="K27" s="514"/>
      <c r="L27" s="515"/>
      <c r="M27" s="514"/>
      <c r="N27" s="515"/>
      <c r="O27" s="516"/>
      <c r="P27" s="516"/>
    </row>
    <row r="28" spans="1:16" ht="21.75" customHeight="1" x14ac:dyDescent="0.45">
      <c r="A28" s="17"/>
      <c r="B28" s="18"/>
      <c r="C28" s="19" t="s">
        <v>16</v>
      </c>
      <c r="D28" s="571" t="s">
        <v>17</v>
      </c>
      <c r="E28" s="555"/>
      <c r="F28" s="555"/>
      <c r="G28" s="555"/>
      <c r="H28" s="20" t="s">
        <v>12</v>
      </c>
      <c r="I28" s="21"/>
      <c r="J28" s="21"/>
      <c r="K28" s="22"/>
      <c r="L28" s="23">
        <f t="shared" ref="L28:N28" ca="1" si="23">L29+L30</f>
        <v>2542856</v>
      </c>
      <c r="M28" s="23">
        <f t="shared" si="23"/>
        <v>0</v>
      </c>
      <c r="N28" s="23">
        <f t="shared" ca="1" si="23"/>
        <v>879627.16</v>
      </c>
      <c r="O28" s="22">
        <f t="shared" ref="O28:O30" ca="1" si="24">IF(L28&gt;0,N28*100/L28,0)</f>
        <v>34.592094872851625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2542856</v>
      </c>
      <c r="M30" s="30">
        <f t="shared" si="27"/>
        <v>0</v>
      </c>
      <c r="N30" s="30">
        <f t="shared" ca="1" si="27"/>
        <v>879627.16</v>
      </c>
      <c r="O30" s="29">
        <f t="shared" ca="1" si="24"/>
        <v>34.592094872851625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2" t="s">
        <v>20</v>
      </c>
      <c r="E31" s="553"/>
      <c r="F31" s="55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2542856</v>
      </c>
      <c r="M32" s="38">
        <f t="shared" si="30"/>
        <v>0</v>
      </c>
      <c r="N32" s="38">
        <f t="shared" ca="1" si="30"/>
        <v>879627.16</v>
      </c>
      <c r="O32" s="38">
        <f t="shared" ca="1" si="29"/>
        <v>34.592094872851625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2542856</v>
      </c>
      <c r="M34" s="38">
        <f t="shared" si="32"/>
        <v>0</v>
      </c>
      <c r="N34" s="38">
        <f t="shared" ca="1" si="32"/>
        <v>879627.16</v>
      </c>
      <c r="O34" s="38">
        <f t="shared" ca="1" si="29"/>
        <v>34.592094872851625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2" t="s">
        <v>23</v>
      </c>
      <c r="E35" s="55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4277095</v>
      </c>
      <c r="M37" s="54">
        <f t="shared" ca="1" si="33"/>
        <v>3422384.84</v>
      </c>
      <c r="N37" s="54">
        <f t="shared" ca="1" si="33"/>
        <v>2307718.71</v>
      </c>
      <c r="O37" s="55">
        <f t="shared" ca="1" si="29"/>
        <v>53.955282966592982</v>
      </c>
      <c r="P37" s="55">
        <f t="shared" ca="1" si="25"/>
        <v>67.430134771167346</v>
      </c>
    </row>
    <row r="38" spans="1:16" ht="21.75" customHeight="1" x14ac:dyDescent="0.45">
      <c r="A38" s="581" t="s">
        <v>27</v>
      </c>
      <c r="B38" s="560"/>
      <c r="C38" s="560"/>
      <c r="D38" s="560"/>
      <c r="E38" s="560"/>
      <c r="F38" s="560"/>
      <c r="G38" s="561"/>
      <c r="H38" s="517"/>
      <c r="I38" s="518"/>
      <c r="J38" s="518"/>
      <c r="K38" s="519"/>
      <c r="L38" s="520"/>
      <c r="M38" s="520"/>
      <c r="N38" s="520"/>
      <c r="O38" s="520"/>
      <c r="P38" s="520"/>
    </row>
    <row r="39" spans="1:16" ht="21.75" customHeight="1" x14ac:dyDescent="0.45">
      <c r="A39" s="521"/>
      <c r="B39" s="582" t="s">
        <v>28</v>
      </c>
      <c r="C39" s="555"/>
      <c r="D39" s="555"/>
      <c r="E39" s="555"/>
      <c r="F39" s="555"/>
      <c r="G39" s="555"/>
      <c r="H39" s="522"/>
      <c r="I39" s="523"/>
      <c r="J39" s="523"/>
      <c r="K39" s="524"/>
      <c r="L39" s="525"/>
      <c r="M39" s="525"/>
      <c r="N39" s="525"/>
      <c r="O39" s="524"/>
      <c r="P39" s="524"/>
    </row>
    <row r="40" spans="1:16" ht="21.75" customHeight="1" x14ac:dyDescent="0.45">
      <c r="A40" s="526"/>
      <c r="B40" s="527" t="s">
        <v>29</v>
      </c>
      <c r="C40" s="528"/>
      <c r="D40" s="528"/>
      <c r="E40" s="528"/>
      <c r="F40" s="528"/>
      <c r="G40" s="528"/>
      <c r="H40" s="529"/>
      <c r="I40" s="530"/>
      <c r="J40" s="530"/>
      <c r="K40" s="531"/>
      <c r="L40" s="532"/>
      <c r="M40" s="532"/>
      <c r="N40" s="532"/>
      <c r="O40" s="531"/>
      <c r="P40" s="531"/>
    </row>
    <row r="41" spans="1:16" ht="21.75" customHeight="1" x14ac:dyDescent="0.45">
      <c r="A41" s="72"/>
      <c r="B41" s="73"/>
      <c r="C41" s="74" t="s">
        <v>16</v>
      </c>
      <c r="D41" s="575" t="s">
        <v>17</v>
      </c>
      <c r="E41" s="553"/>
      <c r="F41" s="553"/>
      <c r="G41" s="553"/>
      <c r="H41" s="75" t="s">
        <v>12</v>
      </c>
      <c r="I41" s="76"/>
      <c r="J41" s="76"/>
      <c r="K41" s="77"/>
      <c r="L41" s="78">
        <f t="shared" ref="L41:N41" ca="1" si="34">L42+L43</f>
        <v>937100</v>
      </c>
      <c r="M41" s="78">
        <f t="shared" ca="1" si="34"/>
        <v>726800</v>
      </c>
      <c r="N41" s="78">
        <f t="shared" ca="1" si="34"/>
        <v>474928.35</v>
      </c>
      <c r="O41" s="77">
        <f t="shared" ref="O41:O43" ca="1" si="35">IF(L41&gt;0,N41*100/L41,0)</f>
        <v>50.680647743037028</v>
      </c>
      <c r="P41" s="77">
        <f t="shared" ref="P41:P43" ca="1" si="36">IF(M41&gt;0,N41*100/M41,0)</f>
        <v>65.345122454595483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937100</v>
      </c>
      <c r="M43" s="78">
        <f t="shared" ca="1" si="38"/>
        <v>726800</v>
      </c>
      <c r="N43" s="78">
        <f t="shared" ca="1" si="38"/>
        <v>474928.35</v>
      </c>
      <c r="O43" s="77">
        <f t="shared" ca="1" si="35"/>
        <v>50.680647743037028</v>
      </c>
      <c r="P43" s="77">
        <f t="shared" ca="1" si="36"/>
        <v>65.345122454595483</v>
      </c>
    </row>
    <row r="44" spans="1:16" ht="21.75" customHeight="1" x14ac:dyDescent="0.45">
      <c r="A44" s="79"/>
      <c r="B44" s="80"/>
      <c r="C44" s="81" t="s">
        <v>16</v>
      </c>
      <c r="D44" s="552" t="s">
        <v>20</v>
      </c>
      <c r="E44" s="553"/>
      <c r="F44" s="55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841100</v>
      </c>
      <c r="M45" s="533">
        <f ca="1">IFERROR(__xludf.DUMMYFUNCTION("IMPORTRANGE(""https://docs.google.com/spreadsheets/d/1Yj_ptqi66GCucihVvJfMjLAmec39IyEx_6qawtMGysU/edit?usp=sharing"",""สบก!Q53"")"),630800)</f>
        <v>630800</v>
      </c>
      <c r="N45" s="533">
        <f ca="1">IFERROR(__xludf.DUMMYFUNCTION("IMPORTRANGE(""https://docs.google.com/spreadsheets/d/1Yj_ptqi66GCucihVvJfMjLAmec39IyEx_6qawtMGysU/edit?usp=sharing"",""สบก!R53"")"),378928.35)</f>
        <v>378928.35</v>
      </c>
      <c r="O45" s="534">
        <f ca="1">IF(L45&gt;0,N45*100/L45,0)</f>
        <v>45.051521816668647</v>
      </c>
      <c r="P45" s="534">
        <f ca="1">IF(M45&gt;0,N45*100/M45,0)</f>
        <v>60.071076410906784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533">
        <f ca="1">IFERROR(__xludf.DUMMYFUNCTION("IMPORTRANGE(""https://docs.google.com/spreadsheets/d/1Yj_ptqi66GCucihVvJfMjLAmec39IyEx_6qawtMGysU/edit?usp=sharing"",""สบก!M53"")"),841100)</f>
        <v>841100</v>
      </c>
      <c r="M46" s="535"/>
      <c r="N46" s="38"/>
      <c r="O46" s="534"/>
      <c r="P46" s="534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533">
        <f ca="1">IFERROR(__xludf.DUMMYFUNCTION("IMPORTRANGE(""https://docs.google.com/spreadsheets/d/1Yj_ptqi66GCucihVvJfMjLAmec39IyEx_6qawtMGysU/edit?usp=sharing"",""สบก!N53"")"),0)</f>
        <v>0</v>
      </c>
      <c r="M47" s="535"/>
      <c r="N47" s="38"/>
      <c r="O47" s="534"/>
      <c r="P47" s="534"/>
    </row>
    <row r="48" spans="1:16" ht="21.75" customHeight="1" x14ac:dyDescent="0.45">
      <c r="A48" s="79"/>
      <c r="B48" s="80"/>
      <c r="C48" s="81" t="s">
        <v>16</v>
      </c>
      <c r="D48" s="552" t="s">
        <v>23</v>
      </c>
      <c r="E48" s="55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535"/>
      <c r="N48" s="41"/>
      <c r="O48" s="535"/>
      <c r="P48" s="535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33">
        <f ca="1">IFERROR(__xludf.DUMMYFUNCTION("IMPORTRANGE(""https://docs.google.com/spreadsheets/d/1Yj_ptqi66GCucihVvJfMjLAmec39IyEx_6qawtMGysU/edit?usp=sharing"",""สบก!O53"")"),96000)</f>
        <v>96000</v>
      </c>
      <c r="M49" s="536">
        <f ca="1">L49</f>
        <v>96000</v>
      </c>
      <c r="N49" s="533">
        <f ca="1">IFERROR(__xludf.DUMMYFUNCTION("IMPORTRANGE(""https://docs.google.com/spreadsheets/d/1Yj_ptqi66GCucihVvJfMjLAmec39IyEx_6qawtMGysU/edit?usp=sharing"",""สบก!S53"")"),96000)</f>
        <v>96000</v>
      </c>
      <c r="O49" s="536">
        <f ca="1">IF(L49&gt;0,N49*100/L49,0)</f>
        <v>100</v>
      </c>
      <c r="P49" s="536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76" t="s">
        <v>32</v>
      </c>
      <c r="C52" s="553"/>
      <c r="D52" s="553"/>
      <c r="E52" s="553"/>
      <c r="F52" s="553"/>
      <c r="G52" s="55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77" t="s">
        <v>17</v>
      </c>
      <c r="E53" s="553"/>
      <c r="F53" s="553"/>
      <c r="G53" s="553"/>
      <c r="H53" s="118" t="s">
        <v>12</v>
      </c>
      <c r="I53" s="119"/>
      <c r="J53" s="119"/>
      <c r="K53" s="120"/>
      <c r="L53" s="121">
        <f t="shared" ref="L53:N53" ca="1" si="39">L54+L55</f>
        <v>676800</v>
      </c>
      <c r="M53" s="121">
        <f t="shared" ca="1" si="39"/>
        <v>535544.84</v>
      </c>
      <c r="N53" s="121">
        <f t="shared" ca="1" si="39"/>
        <v>382552</v>
      </c>
      <c r="O53" s="120">
        <f t="shared" ref="O53:O55" ca="1" si="40">IF(L53&gt;0,N53*100/L53,0)</f>
        <v>56.523640661938536</v>
      </c>
      <c r="P53" s="120">
        <f t="shared" ref="P53:P55" ca="1" si="41">IF(M53&gt;0,N53*100/M53,0)</f>
        <v>71.432300608105948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676800</v>
      </c>
      <c r="M55" s="121">
        <f t="shared" ca="1" si="43"/>
        <v>535544.84</v>
      </c>
      <c r="N55" s="121">
        <f t="shared" ca="1" si="43"/>
        <v>382552</v>
      </c>
      <c r="O55" s="120">
        <f t="shared" ca="1" si="40"/>
        <v>56.523640661938536</v>
      </c>
      <c r="P55" s="120">
        <f t="shared" ca="1" si="41"/>
        <v>71.432300608105948</v>
      </c>
    </row>
    <row r="56" spans="1:16" ht="21.75" customHeight="1" x14ac:dyDescent="0.45">
      <c r="A56" s="79"/>
      <c r="B56" s="80"/>
      <c r="C56" s="81" t="s">
        <v>16</v>
      </c>
      <c r="D56" s="552" t="s">
        <v>20</v>
      </c>
      <c r="E56" s="553"/>
      <c r="F56" s="55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676800</v>
      </c>
      <c r="M57" s="533">
        <f ca="1">IFERROR(__xludf.DUMMYFUNCTION("IMPORTRANGE(""https://docs.google.com/spreadsheets/d/1Yj_ptqi66GCucihVvJfMjLAmec39IyEx_6qawtMGysU/edit?usp=sharing"",""สบก!Z53"")"),535544.84)</f>
        <v>535544.84</v>
      </c>
      <c r="N57" s="533">
        <f ca="1">IFERROR(__xludf.DUMMYFUNCTION("IMPORTRANGE(""https://docs.google.com/spreadsheets/d/1Yj_ptqi66GCucihVvJfMjLAmec39IyEx_6qawtMGysU/edit?usp=sharing"",""สบก!AA53"")"),382552)</f>
        <v>382552</v>
      </c>
      <c r="O57" s="534">
        <f ca="1">IF(L57&gt;0,N57*100/L57,0)</f>
        <v>56.523640661938536</v>
      </c>
      <c r="P57" s="534">
        <f ca="1">IF(M57&gt;0,N57*100/M57,0)</f>
        <v>71.432300608105948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533">
        <f ca="1">IFERROR(__xludf.DUMMYFUNCTION("IMPORTRANGE(""https://docs.google.com/spreadsheets/d/1Yj_ptqi66GCucihVvJfMjLAmec39IyEx_6qawtMGysU/edit?usp=sharing"",""สบก!V53"")"),676800)</f>
        <v>676800</v>
      </c>
      <c r="M58" s="535"/>
      <c r="N58" s="38"/>
      <c r="O58" s="534"/>
      <c r="P58" s="534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533">
        <f ca="1">IFERROR(__xludf.DUMMYFUNCTION("IMPORTRANGE(""https://docs.google.com/spreadsheets/d/1Yj_ptqi66GCucihVvJfMjLAmec39IyEx_6qawtMGysU/edit?usp=sharing"",""สบก!W53"")"),0)</f>
        <v>0</v>
      </c>
      <c r="M59" s="535"/>
      <c r="N59" s="38"/>
      <c r="O59" s="534"/>
      <c r="P59" s="534"/>
    </row>
    <row r="60" spans="1:16" ht="21.75" customHeight="1" x14ac:dyDescent="0.45">
      <c r="A60" s="79"/>
      <c r="B60" s="80"/>
      <c r="C60" s="81" t="s">
        <v>16</v>
      </c>
      <c r="D60" s="552" t="s">
        <v>23</v>
      </c>
      <c r="E60" s="55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535"/>
      <c r="N60" s="41"/>
      <c r="O60" s="535"/>
      <c r="P60" s="535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33">
        <f ca="1">IFERROR(__xludf.DUMMYFUNCTION("IMPORTRANGE(""https://docs.google.com/spreadsheets/d/1Yj_ptqi66GCucihVvJfMjLAmec39IyEx_6qawtMGysU/edit?usp=sharing"",""สบก!X53"")"),0)</f>
        <v>0</v>
      </c>
      <c r="M61" s="536"/>
      <c r="N61" s="533">
        <f ca="1">IFERROR(__xludf.DUMMYFUNCTION("IMPORTRANGE(""https://docs.google.com/spreadsheets/d/1Yj_ptqi66GCucihVvJfMjLAmec39IyEx_6qawtMGysU/edit?usp=sharing"",""สบก!AB53"")"),0)</f>
        <v>0</v>
      </c>
      <c r="O61" s="536">
        <f ca="1">IF(L61&gt;0,N61*100/L61,0)</f>
        <v>0</v>
      </c>
      <c r="P61" s="536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IFERROR(__xludf.DUMMYFUNCTION("IMPORTRANGE(""https://docs.google.com/spreadsheets/d/1XL5vhW3sbDhbH9Cz0tuDiY8C3ctxq1tqvaCgkFb8cCA/edit?usp=sharing"",""หนองคาย!I9"")"),1)</f>
        <v>1</v>
      </c>
      <c r="J64" s="142">
        <f ca="1">IFERROR(__xludf.DUMMYFUNCTION("IMPORTRANGE(""https://docs.google.com/spreadsheets/d/1XL5vhW3sbDhbH9Cz0tuDiY8C3ctxq1tqvaCgkFb8cCA/edit?usp=sharing"",""หนองคาย!J9"")"),1)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IFERROR(__xludf.DUMMYFUNCTION("IMPORTRANGE(""https://docs.google.com/spreadsheets/d/1XL5vhW3sbDhbH9Cz0tuDiY8C3ctxq1tqvaCgkFb8cCA/edit?usp=sharing"",""หนองคาย!I10"")"),64)</f>
        <v>64</v>
      </c>
      <c r="J65" s="142">
        <f ca="1">IFERROR(__xludf.DUMMYFUNCTION("IMPORTRANGE(""https://docs.google.com/spreadsheets/d/1XL5vhW3sbDhbH9Cz0tuDiY8C3ctxq1tqvaCgkFb8cCA/edit?usp=sharing"",""หนองคาย!J10"")"),64)</f>
        <v>64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54" t="s">
        <v>17</v>
      </c>
      <c r="E66" s="555"/>
      <c r="F66" s="555"/>
      <c r="G66" s="555"/>
      <c r="H66" s="149" t="s">
        <v>12</v>
      </c>
      <c r="I66" s="150"/>
      <c r="J66" s="150"/>
      <c r="K66" s="151"/>
      <c r="L66" s="152">
        <f t="shared" ref="L66:N66" ca="1" si="45">L67+L68</f>
        <v>874700</v>
      </c>
      <c r="M66" s="152">
        <f t="shared" ca="1" si="45"/>
        <v>723320</v>
      </c>
      <c r="N66" s="152">
        <f t="shared" ca="1" si="45"/>
        <v>422097.07</v>
      </c>
      <c r="O66" s="151">
        <f t="shared" ref="O66:O68" ca="1" si="46">IF(L66&gt;0,N66*100/L66,0)</f>
        <v>48.256210129187153</v>
      </c>
      <c r="P66" s="151">
        <f t="shared" ref="P66:P68" ca="1" si="47">IF(M66&gt;0,N66*100/M66,0)</f>
        <v>58.355509318144115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874700</v>
      </c>
      <c r="M68" s="157">
        <f t="shared" ca="1" si="49"/>
        <v>723320</v>
      </c>
      <c r="N68" s="157">
        <f t="shared" ca="1" si="49"/>
        <v>422097.07</v>
      </c>
      <c r="O68" s="156">
        <f t="shared" ca="1" si="46"/>
        <v>48.256210129187153</v>
      </c>
      <c r="P68" s="156">
        <f t="shared" ca="1" si="47"/>
        <v>58.355509318144115</v>
      </c>
    </row>
    <row r="69" spans="1:16" ht="21.75" customHeight="1" x14ac:dyDescent="0.45">
      <c r="A69" s="158"/>
      <c r="B69" s="159"/>
      <c r="C69" s="159" t="s">
        <v>16</v>
      </c>
      <c r="D69" s="552" t="s">
        <v>20</v>
      </c>
      <c r="E69" s="553"/>
      <c r="F69" s="55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874700</v>
      </c>
      <c r="M70" s="537">
        <f ca="1">IFERROR(__xludf.DUMMYFUNCTION("IMPORTRANGE(""https://docs.google.com/spreadsheets/d/1Yj_ptqi66GCucihVvJfMjLAmec39IyEx_6qawtMGysU/edit?usp=sharing"",""สบก!AI53"")"),723320)</f>
        <v>723320</v>
      </c>
      <c r="N70" s="538">
        <f ca="1">IFERROR(__xludf.DUMMYFUNCTION("IMPORTRANGE(""https://docs.google.com/spreadsheets/d/1Yj_ptqi66GCucihVvJfMjLAmec39IyEx_6qawtMGysU/edit?usp=sharing"",""สบก!AJ53"")"),422097.07)</f>
        <v>422097.07</v>
      </c>
      <c r="O70" s="169">
        <f ca="1">IF(L70&gt;0,N70*100/L70,0)</f>
        <v>48.256210129187153</v>
      </c>
      <c r="P70" s="169">
        <f ca="1">IF(M70&gt;0,N70*100/M70,0)</f>
        <v>58.355509318144115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537">
        <f ca="1">IFERROR(__xludf.DUMMYFUNCTION("IMPORTRANGE(""https://docs.google.com/spreadsheets/d/1Yj_ptqi66GCucihVvJfMjLAmec39IyEx_6qawtMGysU/edit?usp=sharing"",""สบก!AE53"")"),315900)</f>
        <v>315900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537">
        <f ca="1">IFERROR(__xludf.DUMMYFUNCTION("IMPORTRANGE(""https://docs.google.com/spreadsheets/d/1Yj_ptqi66GCucihVvJfMjLAmec39IyEx_6qawtMGysU/edit?usp=sharing"",""สบก!AF53"")"),558800)</f>
        <v>558800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52" t="s">
        <v>23</v>
      </c>
      <c r="E73" s="553"/>
      <c r="F73" s="89"/>
      <c r="G73" s="82" t="s">
        <v>18</v>
      </c>
      <c r="H73" s="172" t="s">
        <v>12</v>
      </c>
      <c r="I73" s="84"/>
      <c r="J73" s="84"/>
      <c r="K73" s="85"/>
      <c r="L73" s="535">
        <v>0</v>
      </c>
      <c r="M73" s="535"/>
      <c r="N73" s="41"/>
      <c r="O73" s="535"/>
      <c r="P73" s="535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533">
        <f ca="1">IFERROR(__xludf.DUMMYFUNCTION("IMPORTRANGE(""https://docs.google.com/spreadsheets/d/1Yj_ptqi66GCucihVvJfMjLAmec39IyEx_6qawtMGysU/edit?usp=sharing"",""สบก!AG53"")"),0)</f>
        <v>0</v>
      </c>
      <c r="M74" s="536"/>
      <c r="N74" s="533">
        <f ca="1">IFERROR(__xludf.DUMMYFUNCTION("IMPORTRANGE(""https://docs.google.com/spreadsheets/d/1Yj_ptqi66GCucihVvJfMjLAmec39IyEx_6qawtMGysU/edit?usp=sharing"",""สบก!AK53"")"),0)</f>
        <v>0</v>
      </c>
      <c r="O74" s="536">
        <f ca="1">IF(L74&gt;0,N74*100/L74,0)</f>
        <v>0</v>
      </c>
      <c r="P74" s="536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IFERROR(__xludf.DUMMYFUNCTION("IMPORTRANGE(""https://docs.google.com/spreadsheets/d/1XL5vhW3sbDhbH9Cz0tuDiY8C3ctxq1tqvaCgkFb8cCA/edit?usp=sharing"",""หนองคาย!J16"")"),0)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IFERROR(__xludf.DUMMYFUNCTION("IMPORTRANGE(""https://docs.google.com/spreadsheets/d/1XL5vhW3sbDhbH9Cz0tuDiY8C3ctxq1tqvaCgkFb8cCA/edit?usp=sharing"",""หนองคาย!J17"")"),1)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IFERROR(__xludf.DUMMYFUNCTION("IMPORTRANGE(""https://docs.google.com/spreadsheets/d/1XL5vhW3sbDhbH9Cz0tuDiY8C3ctxq1tqvaCgkFb8cCA/edit?usp=sharing"",""หนองคาย!J18"")"),1)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IFERROR(__xludf.DUMMYFUNCTION("IMPORTRANGE(""https://docs.google.com/spreadsheets/d/1XL5vhW3sbDhbH9Cz0tuDiY8C3ctxq1tqvaCgkFb8cCA/edit?usp=sharing"",""หนองคาย!J19"")"),1)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IFERROR(__xludf.DUMMYFUNCTION("IMPORTRANGE(""https://docs.google.com/spreadsheets/d/1XL5vhW3sbDhbH9Cz0tuDiY8C3ctxq1tqvaCgkFb8cCA/edit?usp=sharing"",""หนองคาย!I20"")"),1)</f>
        <v>1</v>
      </c>
      <c r="J80" s="201">
        <f ca="1">IFERROR(__xludf.DUMMYFUNCTION("IMPORTRANGE(""https://docs.google.com/spreadsheets/d/1XL5vhW3sbDhbH9Cz0tuDiY8C3ctxq1tqvaCgkFb8cCA/edit?usp=sharing"",""หนองคาย!J20"")"),1)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IFERROR(__xludf.DUMMYFUNCTION("IMPORTRANGE(""https://docs.google.com/spreadsheets/d/1XL5vhW3sbDhbH9Cz0tuDiY8C3ctxq1tqvaCgkFb8cCA/edit?usp=sharing"",""หนองคาย!I21"")"),64)</f>
        <v>64</v>
      </c>
      <c r="J81" s="201">
        <f ca="1">IFERROR(__xludf.DUMMYFUNCTION("IMPORTRANGE(""https://docs.google.com/spreadsheets/d/1XL5vhW3sbDhbH9Cz0tuDiY8C3ctxq1tqvaCgkFb8cCA/edit?usp=sharing"",""หนองคาย!J21"")"),64)</f>
        <v>64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IFERROR(__xludf.DUMMYFUNCTION("IMPORTRANGE(""https://docs.google.com/spreadsheets/d/1XL5vhW3sbDhbH9Cz0tuDiY8C3ctxq1tqvaCgkFb8cCA/edit?usp=sharing"",""หนองคาย!I22"")"),0)</f>
        <v>0</v>
      </c>
      <c r="J82" s="204">
        <f ca="1">IFERROR(__xludf.DUMMYFUNCTION("IMPORTRANGE(""https://docs.google.com/spreadsheets/d/1XL5vhW3sbDhbH9Cz0tuDiY8C3ctxq1tqvaCgkFb8cCA/edit?usp=sharing"",""หนองคาย!J22"")"),0)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IFERROR(__xludf.DUMMYFUNCTION("IMPORTRANGE(""https://docs.google.com/spreadsheets/d/1XL5vhW3sbDhbH9Cz0tuDiY8C3ctxq1tqvaCgkFb8cCA/edit?usp=sharing"",""หนองคาย!I23"")"),0)</f>
        <v>0</v>
      </c>
      <c r="J83" s="204">
        <f ca="1">IFERROR(__xludf.DUMMYFUNCTION("IMPORTRANGE(""https://docs.google.com/spreadsheets/d/1XL5vhW3sbDhbH9Cz0tuDiY8C3ctxq1tqvaCgkFb8cCA/edit?usp=sharing"",""หนองคาย!J23"")"),0)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IFERROR(__xludf.DUMMYFUNCTION("IMPORTRANGE(""https://docs.google.com/spreadsheets/d/1XL5vhW3sbDhbH9Cz0tuDiY8C3ctxq1tqvaCgkFb8cCA/edit?usp=sharing"",""หนองคาย!I24"")"),1)</f>
        <v>1</v>
      </c>
      <c r="J84" s="189">
        <f ca="1">IFERROR(__xludf.DUMMYFUNCTION("IMPORTRANGE(""https://docs.google.com/spreadsheets/d/1XL5vhW3sbDhbH9Cz0tuDiY8C3ctxq1tqvaCgkFb8cCA/edit?usp=sharing"",""หนองคาย!J24"")"),1)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IFERROR(__xludf.DUMMYFUNCTION("IMPORTRANGE(""https://docs.google.com/spreadsheets/d/1XL5vhW3sbDhbH9Cz0tuDiY8C3ctxq1tqvaCgkFb8cCA/edit?usp=sharing"",""หนองคาย!I25"")"),64)</f>
        <v>64</v>
      </c>
      <c r="J85" s="189">
        <f ca="1">IFERROR(__xludf.DUMMYFUNCTION("IMPORTRANGE(""https://docs.google.com/spreadsheets/d/1XL5vhW3sbDhbH9Cz0tuDiY8C3ctxq1tqvaCgkFb8cCA/edit?usp=sharing"",""หนองคาย!J25"")"),64)</f>
        <v>64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IFERROR(__xludf.DUMMYFUNCTION("IMPORTRANGE(""https://docs.google.com/spreadsheets/d/1XL5vhW3sbDhbH9Cz0tuDiY8C3ctxq1tqvaCgkFb8cCA/edit?usp=sharing"",""หนองคาย!I26"")"),0)</f>
        <v>0</v>
      </c>
      <c r="J86" s="204">
        <f ca="1">IFERROR(__xludf.DUMMYFUNCTION("IMPORTRANGE(""https://docs.google.com/spreadsheets/d/1XL5vhW3sbDhbH9Cz0tuDiY8C3ctxq1tqvaCgkFb8cCA/edit?usp=sharing"",""หนองคาย!J26"")"),0)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IFERROR(__xludf.DUMMYFUNCTION("IMPORTRANGE(""https://docs.google.com/spreadsheets/d/1XL5vhW3sbDhbH9Cz0tuDiY8C3ctxq1tqvaCgkFb8cCA/edit?usp=sharing"",""หนองคาย!I27"")"),0)</f>
        <v>0</v>
      </c>
      <c r="J87" s="204">
        <f ca="1">IFERROR(__xludf.DUMMYFUNCTION("IMPORTRANGE(""https://docs.google.com/spreadsheets/d/1XL5vhW3sbDhbH9Cz0tuDiY8C3ctxq1tqvaCgkFb8cCA/edit?usp=sharing"",""หนองคาย!J27"")"),0)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IFERROR(__xludf.DUMMYFUNCTION("IMPORTRANGE(""https://docs.google.com/spreadsheets/d/1XL5vhW3sbDhbH9Cz0tuDiY8C3ctxq1tqvaCgkFb8cCA/edit?usp=sharing"",""หนองคาย!I28"")"),0)</f>
        <v>0</v>
      </c>
      <c r="J88" s="204">
        <f ca="1">IFERROR(__xludf.DUMMYFUNCTION("IMPORTRANGE(""https://docs.google.com/spreadsheets/d/1XL5vhW3sbDhbH9Cz0tuDiY8C3ctxq1tqvaCgkFb8cCA/edit?usp=sharing"",""หนองคาย!J28"")"),64)</f>
        <v>64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IFERROR(__xludf.DUMMYFUNCTION("IMPORTRANGE(""https://docs.google.com/spreadsheets/d/1XL5vhW3sbDhbH9Cz0tuDiY8C3ctxq1tqvaCgkFb8cCA/edit?usp=sharing"",""หนองคาย!J29"")"),0)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IFERROR(__xludf.DUMMYFUNCTION("IMPORTRANGE(""https://docs.google.com/spreadsheets/d/1XL5vhW3sbDhbH9Cz0tuDiY8C3ctxq1tqvaCgkFb8cCA/edit?usp=sharing"",""หนองคาย!J30"")"),0)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IFERROR(__xludf.DUMMYFUNCTION("IMPORTRANGE(""https://docs.google.com/spreadsheets/d/1XL5vhW3sbDhbH9Cz0tuDiY8C3ctxq1tqvaCgkFb8cCA/edit?usp=sharing"",""หนองคาย!I32"")"),7)</f>
        <v>7</v>
      </c>
      <c r="J92" s="142">
        <f ca="1">IFERROR(__xludf.DUMMYFUNCTION("IMPORTRANGE(""https://docs.google.com/spreadsheets/d/1XL5vhW3sbDhbH9Cz0tuDiY8C3ctxq1tqvaCgkFb8cCA/edit?usp=sharing"",""หนองคาย!J32"")"),23)</f>
        <v>23</v>
      </c>
      <c r="K92" s="143">
        <f t="shared" ref="K92:K93" ca="1" si="51">IF(I92&gt;0,J92*100/I92,0)</f>
        <v>328.57142857142856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IFERROR(__xludf.DUMMYFUNCTION("IMPORTRANGE(""https://docs.google.com/spreadsheets/d/1XL5vhW3sbDhbH9Cz0tuDiY8C3ctxq1tqvaCgkFb8cCA/edit?usp=sharing"",""หนองคาย!I33"")"),2)</f>
        <v>2</v>
      </c>
      <c r="J93" s="142">
        <f ca="1">IFERROR(__xludf.DUMMYFUNCTION("IMPORTRANGE(""https://docs.google.com/spreadsheets/d/1XL5vhW3sbDhbH9Cz0tuDiY8C3ctxq1tqvaCgkFb8cCA/edit?usp=sharing"",""หนองคาย!J33"")"),2)</f>
        <v>2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54" t="s">
        <v>17</v>
      </c>
      <c r="E94" s="555"/>
      <c r="F94" s="555"/>
      <c r="G94" s="555"/>
      <c r="H94" s="149" t="s">
        <v>12</v>
      </c>
      <c r="I94" s="162"/>
      <c r="J94" s="162"/>
      <c r="K94" s="163"/>
      <c r="L94" s="152">
        <f t="shared" ref="L94:N94" ca="1" si="52">L95+L96</f>
        <v>319800</v>
      </c>
      <c r="M94" s="152">
        <f t="shared" ca="1" si="52"/>
        <v>319800</v>
      </c>
      <c r="N94" s="152">
        <f t="shared" ca="1" si="52"/>
        <v>215420</v>
      </c>
      <c r="O94" s="151">
        <f t="shared" ref="O94:O96" ca="1" si="53">IF(L94&gt;0,N94*100/L94,0)</f>
        <v>67.360850531582244</v>
      </c>
      <c r="P94" s="151">
        <f t="shared" ref="P94:P96" ca="1" si="54">IF(M94&gt;0,N94*100/M94,0)</f>
        <v>67.360850531582244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319800</v>
      </c>
      <c r="M96" s="157">
        <f t="shared" ca="1" si="56"/>
        <v>319800</v>
      </c>
      <c r="N96" s="157">
        <f t="shared" ca="1" si="56"/>
        <v>215420</v>
      </c>
      <c r="O96" s="156">
        <f t="shared" ca="1" si="53"/>
        <v>67.360850531582244</v>
      </c>
      <c r="P96" s="156">
        <f t="shared" ca="1" si="54"/>
        <v>67.360850531582244</v>
      </c>
    </row>
    <row r="97" spans="1:16" ht="21.75" customHeight="1" x14ac:dyDescent="0.45">
      <c r="A97" s="158"/>
      <c r="B97" s="159"/>
      <c r="C97" s="159" t="s">
        <v>16</v>
      </c>
      <c r="D97" s="552" t="s">
        <v>20</v>
      </c>
      <c r="E97" s="553"/>
      <c r="F97" s="55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135000</v>
      </c>
      <c r="M98" s="537">
        <f ca="1">IFERROR(__xludf.DUMMYFUNCTION("IMPORTRANGE(""https://docs.google.com/spreadsheets/d/1Yj_ptqi66GCucihVvJfMjLAmec39IyEx_6qawtMGysU/edit?usp=sharing"",""สบก!AR53"")"),135000)</f>
        <v>135000</v>
      </c>
      <c r="N98" s="538">
        <f ca="1">IFERROR(__xludf.DUMMYFUNCTION("IMPORTRANGE(""https://docs.google.com/spreadsheets/d/1Yj_ptqi66GCucihVvJfMjLAmec39IyEx_6qawtMGysU/edit?usp=sharing"",""สบก!AS53"")"),30620)</f>
        <v>30620</v>
      </c>
      <c r="O98" s="169">
        <f ca="1">IF(L98&gt;0,N98*100/L98,0)</f>
        <v>22.68148148148148</v>
      </c>
      <c r="P98" s="169">
        <f ca="1">IF(M98&gt;0,N98*100/M98,0)</f>
        <v>22.68148148148148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537">
        <f ca="1">IFERROR(__xludf.DUMMYFUNCTION("IMPORTRANGE(""https://docs.google.com/spreadsheets/d/1Yj_ptqi66GCucihVvJfMjLAmec39IyEx_6qawtMGysU/edit?usp=sharing"",""สบก!AN53"")"),0)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537">
        <f ca="1">IFERROR(__xludf.DUMMYFUNCTION("IMPORTRANGE(""https://docs.google.com/spreadsheets/d/1Yj_ptqi66GCucihVvJfMjLAmec39IyEx_6qawtMGysU/edit?usp=sharing"",""สบก!AO53"")"),135000)</f>
        <v>135000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52" t="s">
        <v>23</v>
      </c>
      <c r="E101" s="553"/>
      <c r="F101" s="89"/>
      <c r="G101" s="82" t="s">
        <v>18</v>
      </c>
      <c r="H101" s="172" t="s">
        <v>12</v>
      </c>
      <c r="I101" s="188"/>
      <c r="J101" s="188"/>
      <c r="K101" s="224"/>
      <c r="L101" s="535">
        <v>0</v>
      </c>
      <c r="M101" s="535"/>
      <c r="N101" s="41"/>
      <c r="O101" s="535"/>
      <c r="P101" s="535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533">
        <f ca="1">IFERROR(__xludf.DUMMYFUNCTION("IMPORTRANGE(""https://docs.google.com/spreadsheets/d/1Yj_ptqi66GCucihVvJfMjLAmec39IyEx_6qawtMGysU/edit?usp=sharing"",""สบก!AP53"")"),184800)</f>
        <v>184800</v>
      </c>
      <c r="M102" s="536">
        <f ca="1">L102</f>
        <v>184800</v>
      </c>
      <c r="N102" s="533">
        <f ca="1">IFERROR(__xludf.DUMMYFUNCTION("IMPORTRANGE(""https://docs.google.com/spreadsheets/d/1Yj_ptqi66GCucihVvJfMjLAmec39IyEx_6qawtMGysU/edit?usp=sharing"",""สบก!AT53"")"),184800)</f>
        <v>184800</v>
      </c>
      <c r="O102" s="536">
        <f ca="1">IF(L102&gt;0,N102*100/L102,0)</f>
        <v>100</v>
      </c>
      <c r="P102" s="536">
        <f ca="1">IF(M102&gt;0,N102*100/M102,0)</f>
        <v>100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IFERROR(__xludf.DUMMYFUNCTION("IMPORTRANGE(""https://docs.google.com/spreadsheets/d/1XL5vhW3sbDhbH9Cz0tuDiY8C3ctxq1tqvaCgkFb8cCA/edit?usp=sharing"",""หนองคาย!J39"")"),0)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IFERROR(__xludf.DUMMYFUNCTION("IMPORTRANGE(""https://docs.google.com/spreadsheets/d/1XL5vhW3sbDhbH9Cz0tuDiY8C3ctxq1tqvaCgkFb8cCA/edit?usp=sharing"",""หนองคาย!J40"")"),1)</f>
        <v>1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IFERROR(__xludf.DUMMYFUNCTION("IMPORTRANGE(""https://docs.google.com/spreadsheets/d/1XL5vhW3sbDhbH9Cz0tuDiY8C3ctxq1tqvaCgkFb8cCA/edit?usp=sharing"",""หนองคาย!J41"")"),1)</f>
        <v>1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IFERROR(__xludf.DUMMYFUNCTION("IMPORTRANGE(""https://docs.google.com/spreadsheets/d/1XL5vhW3sbDhbH9Cz0tuDiY8C3ctxq1tqvaCgkFb8cCA/edit?usp=sharing"",""หนองคาย!J42"")"),1)</f>
        <v>1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IFERROR(__xludf.DUMMYFUNCTION("IMPORTRANGE(""https://docs.google.com/spreadsheets/d/1XL5vhW3sbDhbH9Cz0tuDiY8C3ctxq1tqvaCgkFb8cCA/edit?usp=sharing"",""หนองคาย!I43"")"),1)</f>
        <v>1</v>
      </c>
      <c r="J108" s="204">
        <f ca="1">IFERROR(__xludf.DUMMYFUNCTION("IMPORTRANGE(""https://docs.google.com/spreadsheets/d/1XL5vhW3sbDhbH9Cz0tuDiY8C3ctxq1tqvaCgkFb8cCA/edit?usp=sharing"",""หนองคาย!J43"")"),0)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IFERROR(__xludf.DUMMYFUNCTION("IMPORTRANGE(""https://docs.google.com/spreadsheets/d/1XL5vhW3sbDhbH9Cz0tuDiY8C3ctxq1tqvaCgkFb8cCA/edit?usp=sharing"",""หนองคาย!I44"")"),7)</f>
        <v>7</v>
      </c>
      <c r="J109" s="204">
        <f ca="1">IFERROR(__xludf.DUMMYFUNCTION("IMPORTRANGE(""https://docs.google.com/spreadsheets/d/1XL5vhW3sbDhbH9Cz0tuDiY8C3ctxq1tqvaCgkFb8cCA/edit?usp=sharing"",""หนองคาย!J44"")"),23)</f>
        <v>23</v>
      </c>
      <c r="K109" s="224">
        <f t="shared" ca="1" si="57"/>
        <v>328.57142857142856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IFERROR(__xludf.DUMMYFUNCTION("IMPORTRANGE(""https://docs.google.com/spreadsheets/d/1XL5vhW3sbDhbH9Cz0tuDiY8C3ctxq1tqvaCgkFb8cCA/edit?usp=sharing"",""หนองคาย!I45"")"),7)</f>
        <v>7</v>
      </c>
      <c r="J110" s="204">
        <f ca="1">IFERROR(__xludf.DUMMYFUNCTION("IMPORTRANGE(""https://docs.google.com/spreadsheets/d/1XL5vhW3sbDhbH9Cz0tuDiY8C3ctxq1tqvaCgkFb8cCA/edit?usp=sharing"",""หนองคาย!J45"")"),8)</f>
        <v>8</v>
      </c>
      <c r="K110" s="224">
        <f t="shared" ca="1" si="57"/>
        <v>114.28571428571429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IFERROR(__xludf.DUMMYFUNCTION("IMPORTRANGE(""https://docs.google.com/spreadsheets/d/1XL5vhW3sbDhbH9Cz0tuDiY8C3ctxq1tqvaCgkFb8cCA/edit?usp=sharing"",""หนองคาย!I46"")"),7)</f>
        <v>7</v>
      </c>
      <c r="J111" s="204">
        <f ca="1">IFERROR(__xludf.DUMMYFUNCTION("IMPORTRANGE(""https://docs.google.com/spreadsheets/d/1XL5vhW3sbDhbH9Cz0tuDiY8C3ctxq1tqvaCgkFb8cCA/edit?usp=sharing"",""หนองคาย!J46"")"),0)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IFERROR(__xludf.DUMMYFUNCTION("IMPORTRANGE(""https://docs.google.com/spreadsheets/d/1XL5vhW3sbDhbH9Cz0tuDiY8C3ctxq1tqvaCgkFb8cCA/edit?usp=sharing"",""หนองคาย!I47"")"),7)</f>
        <v>7</v>
      </c>
      <c r="J112" s="204">
        <f ca="1">IFERROR(__xludf.DUMMYFUNCTION("IMPORTRANGE(""https://docs.google.com/spreadsheets/d/1XL5vhW3sbDhbH9Cz0tuDiY8C3ctxq1tqvaCgkFb8cCA/edit?usp=sharing"",""หนองคาย!J47"")"),15)</f>
        <v>15</v>
      </c>
      <c r="K112" s="224">
        <f t="shared" ca="1" si="57"/>
        <v>214.28571428571428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IFERROR(__xludf.DUMMYFUNCTION("IMPORTRANGE(""https://docs.google.com/spreadsheets/d/1XL5vhW3sbDhbH9Cz0tuDiY8C3ctxq1tqvaCgkFb8cCA/edit?usp=sharing"",""หนองคาย!I48"")"),2)</f>
        <v>2</v>
      </c>
      <c r="J113" s="204">
        <f ca="1">IFERROR(__xludf.DUMMYFUNCTION("IMPORTRANGE(""https://docs.google.com/spreadsheets/d/1XL5vhW3sbDhbH9Cz0tuDiY8C3ctxq1tqvaCgkFb8cCA/edit?usp=sharing"",""หนองคาย!J48"")"),2)</f>
        <v>2</v>
      </c>
      <c r="K113" s="224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IFERROR(__xludf.DUMMYFUNCTION("IMPORTRANGE(""https://docs.google.com/spreadsheets/d/1XL5vhW3sbDhbH9Cz0tuDiY8C3ctxq1tqvaCgkFb8cCA/edit?usp=sharing"",""หนองคาย!J49"")"),0)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IFERROR(__xludf.DUMMYFUNCTION("IMPORTRANGE(""https://docs.google.com/spreadsheets/d/1XL5vhW3sbDhbH9Cz0tuDiY8C3ctxq1tqvaCgkFb8cCA/edit?usp=sharing"",""หนองคาย!J50"")"),0)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IFERROR(__xludf.DUMMYFUNCTION("IMPORTRANGE(""https://docs.google.com/spreadsheets/d/1XL5vhW3sbDhbH9Cz0tuDiY8C3ctxq1tqvaCgkFb8cCA/edit?usp=sharing"",""หนองคาย!I52"")"),20)</f>
        <v>20</v>
      </c>
      <c r="J117" s="142">
        <f ca="1">IFERROR(__xludf.DUMMYFUNCTION("IMPORTRANGE(""https://docs.google.com/spreadsheets/d/1XL5vhW3sbDhbH9Cz0tuDiY8C3ctxq1tqvaCgkFb8cCA/edit?usp=sharing"",""หนองคาย!J52"")"),20)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54" t="s">
        <v>17</v>
      </c>
      <c r="E118" s="555"/>
      <c r="F118" s="555"/>
      <c r="G118" s="555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25680</v>
      </c>
      <c r="O118" s="151">
        <f t="shared" ref="O118:O120" ca="1" si="59">IF(L118&gt;0,N118*100/L118,0)</f>
        <v>31.149927219796215</v>
      </c>
      <c r="P118" s="151">
        <f t="shared" ref="P118:P120" ca="1" si="60">IF(M118&gt;0,N118*100/M118,0)</f>
        <v>31.149927219796215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25680</v>
      </c>
      <c r="O120" s="156">
        <f t="shared" ca="1" si="59"/>
        <v>31.149927219796215</v>
      </c>
      <c r="P120" s="156">
        <f t="shared" ca="1" si="60"/>
        <v>31.149927219796215</v>
      </c>
    </row>
    <row r="121" spans="1:16" ht="21.75" customHeight="1" x14ac:dyDescent="0.45">
      <c r="A121" s="158"/>
      <c r="B121" s="159"/>
      <c r="C121" s="159" t="s">
        <v>16</v>
      </c>
      <c r="D121" s="552" t="s">
        <v>20</v>
      </c>
      <c r="E121" s="553"/>
      <c r="F121" s="55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537">
        <f ca="1">IFERROR(__xludf.DUMMYFUNCTION("IMPORTRANGE(""https://docs.google.com/spreadsheets/d/1Yj_ptqi66GCucihVvJfMjLAmec39IyEx_6qawtMGysU/edit?usp=sharing"",""สบก!BA53"")"),82440)</f>
        <v>82440</v>
      </c>
      <c r="N122" s="538">
        <f ca="1">IFERROR(__xludf.DUMMYFUNCTION("IMPORTRANGE(""https://docs.google.com/spreadsheets/d/1Yj_ptqi66GCucihVvJfMjLAmec39IyEx_6qawtMGysU/edit?usp=sharing"",""สบก!BB53"")"),25680)</f>
        <v>25680</v>
      </c>
      <c r="O122" s="169">
        <f ca="1">IF(L122&gt;0,N122*100/L122,0)</f>
        <v>31.149927219796215</v>
      </c>
      <c r="P122" s="169">
        <f ca="1">IF(M122&gt;0,N122*100/M122,0)</f>
        <v>31.149927219796215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537">
        <f ca="1">IFERROR(__xludf.DUMMYFUNCTION("IMPORTRANGE(""https://docs.google.com/spreadsheets/d/1Yj_ptqi66GCucihVvJfMjLAmec39IyEx_6qawtMGysU/edit?usp=sharing"",""สบก!AW53"")"),0)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537">
        <f ca="1">IFERROR(__xludf.DUMMYFUNCTION("IMPORTRANGE(""https://docs.google.com/spreadsheets/d/1Yj_ptqi66GCucihVvJfMjLAmec39IyEx_6qawtMGysU/edit?usp=sharing"",""สบก!AX53"")"),82440)</f>
        <v>82440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52" t="s">
        <v>23</v>
      </c>
      <c r="E125" s="553"/>
      <c r="F125" s="89"/>
      <c r="G125" s="82" t="s">
        <v>18</v>
      </c>
      <c r="H125" s="172" t="s">
        <v>12</v>
      </c>
      <c r="I125" s="188"/>
      <c r="J125" s="188"/>
      <c r="K125" s="224"/>
      <c r="L125" s="535">
        <v>0</v>
      </c>
      <c r="M125" s="535"/>
      <c r="N125" s="41"/>
      <c r="O125" s="535"/>
      <c r="P125" s="535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533">
        <f ca="1">IFERROR(__xludf.DUMMYFUNCTION("IMPORTRANGE(""https://docs.google.com/spreadsheets/d/1Yj_ptqi66GCucihVvJfMjLAmec39IyEx_6qawtMGysU/edit?usp=sharing"",""สบก!AY53"")"),0)</f>
        <v>0</v>
      </c>
      <c r="M126" s="536"/>
      <c r="N126" s="533">
        <f ca="1">IFERROR(__xludf.DUMMYFUNCTION("IMPORTRANGE(""https://docs.google.com/spreadsheets/d/1Yj_ptqi66GCucihVvJfMjLAmec39IyEx_6qawtMGysU/edit?usp=sharing"",""สบก!BC53"")"),0)</f>
        <v>0</v>
      </c>
      <c r="O126" s="536">
        <f ca="1">IF(L126&gt;0,N126*100/L126,0)</f>
        <v>0</v>
      </c>
      <c r="P126" s="536"/>
    </row>
    <row r="127" spans="1:16" ht="21.75" customHeight="1" x14ac:dyDescent="0.35">
      <c r="A127" s="176"/>
      <c r="B127" s="177"/>
      <c r="C127" s="159" t="s">
        <v>16</v>
      </c>
      <c r="D127" s="233" t="s">
        <v>269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IFERROR(__xludf.DUMMYFUNCTION("IMPORTRANGE(""https://docs.google.com/spreadsheets/d/1XL5vhW3sbDhbH9Cz0tuDiY8C3ctxq1tqvaCgkFb8cCA/edit?usp=sharing"",""หนองคาย!J58"")"),0)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IFERROR(__xludf.DUMMYFUNCTION("IMPORTRANGE(""https://docs.google.com/spreadsheets/d/1XL5vhW3sbDhbH9Cz0tuDiY8C3ctxq1tqvaCgkFb8cCA/edit?usp=sharing"",""หนองคาย!J59"")"),1)</f>
        <v>1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IFERROR(__xludf.DUMMYFUNCTION("IMPORTRANGE(""https://docs.google.com/spreadsheets/d/1XL5vhW3sbDhbH9Cz0tuDiY8C3ctxq1tqvaCgkFb8cCA/edit?usp=sharing"",""หนองคาย!J60"")"),1)</f>
        <v>1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IFERROR(__xludf.DUMMYFUNCTION("IMPORTRANGE(""https://docs.google.com/spreadsheets/d/1XL5vhW3sbDhbH9Cz0tuDiY8C3ctxq1tqvaCgkFb8cCA/edit?usp=sharing"",""หนองคาย!J61"")"),1)</f>
        <v>1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IFERROR(__xludf.DUMMYFUNCTION("IMPORTRANGE(""https://docs.google.com/spreadsheets/d/1XL5vhW3sbDhbH9Cz0tuDiY8C3ctxq1tqvaCgkFb8cCA/edit?usp=sharing"",""หนองคาย!I62"")"),20)</f>
        <v>20</v>
      </c>
      <c r="J132" s="204">
        <f ca="1">IFERROR(__xludf.DUMMYFUNCTION("IMPORTRANGE(""https://docs.google.com/spreadsheets/d/1XL5vhW3sbDhbH9Cz0tuDiY8C3ctxq1tqvaCgkFb8cCA/edit?usp=sharing"",""หนองคาย!J62"")"),20)</f>
        <v>20</v>
      </c>
      <c r="K132" s="224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IFERROR(__xludf.DUMMYFUNCTION("IMPORTRANGE(""https://docs.google.com/spreadsheets/d/1XL5vhW3sbDhbH9Cz0tuDiY8C3ctxq1tqvaCgkFb8cCA/edit?usp=sharing"",""หนองคาย!I63"")"),20)</f>
        <v>20</v>
      </c>
      <c r="J133" s="204">
        <f ca="1">IFERROR(__xludf.DUMMYFUNCTION("IMPORTRANGE(""https://docs.google.com/spreadsheets/d/1XL5vhW3sbDhbH9Cz0tuDiY8C3ctxq1tqvaCgkFb8cCA/edit?usp=sharing"",""หนองคาย!J63"")"),20)</f>
        <v>20</v>
      </c>
      <c r="K133" s="224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IFERROR(__xludf.DUMMYFUNCTION("IMPORTRANGE(""https://docs.google.com/spreadsheets/d/1XL5vhW3sbDhbH9Cz0tuDiY8C3ctxq1tqvaCgkFb8cCA/edit?usp=sharing"",""หนองคาย!J64"")"),0)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IFERROR(__xludf.DUMMYFUNCTION("IMPORTRANGE(""https://docs.google.com/spreadsheets/d/1XL5vhW3sbDhbH9Cz0tuDiY8C3ctxq1tqvaCgkFb8cCA/edit?usp=sharing"",""หนองคาย!J65"")"),0)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IFERROR(__xludf.DUMMYFUNCTION("IMPORTRANGE(""https://docs.google.com/spreadsheets/d/1XL5vhW3sbDhbH9Cz0tuDiY8C3ctxq1tqvaCgkFb8cCA/edit?usp=sharing"",""หนองคาย!I68"")"),0)</f>
        <v>0</v>
      </c>
      <c r="J138" s="267">
        <f ca="1">IFERROR(__xludf.DUMMYFUNCTION("IMPORTRANGE(""https://docs.google.com/spreadsheets/d/1XL5vhW3sbDhbH9Cz0tuDiY8C3ctxq1tqvaCgkFb8cCA/edit?usp=sharing"",""หนองคาย!J68"")"),0)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54" t="s">
        <v>17</v>
      </c>
      <c r="E140" s="555"/>
      <c r="F140" s="555"/>
      <c r="G140" s="555"/>
      <c r="H140" s="149" t="s">
        <v>12</v>
      </c>
      <c r="I140" s="162"/>
      <c r="J140" s="162"/>
      <c r="K140" s="163"/>
      <c r="L140" s="152">
        <f t="shared" ref="L140:N140" ca="1" si="64">L141+L142</f>
        <v>79000</v>
      </c>
      <c r="M140" s="152">
        <f t="shared" ca="1" si="64"/>
        <v>70625</v>
      </c>
      <c r="N140" s="152">
        <f t="shared" ca="1" si="64"/>
        <v>57200</v>
      </c>
      <c r="O140" s="151">
        <f t="shared" ref="O140:O142" ca="1" si="65">IF(L140&gt;0,N140*100/L140,0)</f>
        <v>72.405063291139243</v>
      </c>
      <c r="P140" s="151">
        <f t="shared" ref="P140:P142" ca="1" si="66">IF(M140&gt;0,N140*100/M140,0)</f>
        <v>80.991150442477874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79000</v>
      </c>
      <c r="M142" s="157">
        <f t="shared" ca="1" si="68"/>
        <v>70625</v>
      </c>
      <c r="N142" s="157">
        <f t="shared" ca="1" si="68"/>
        <v>57200</v>
      </c>
      <c r="O142" s="156">
        <f t="shared" ca="1" si="65"/>
        <v>72.405063291139243</v>
      </c>
      <c r="P142" s="156">
        <f t="shared" ca="1" si="66"/>
        <v>80.991150442477874</v>
      </c>
    </row>
    <row r="143" spans="1:16" ht="21.75" customHeight="1" x14ac:dyDescent="0.45">
      <c r="A143" s="158"/>
      <c r="B143" s="159"/>
      <c r="C143" s="159" t="s">
        <v>16</v>
      </c>
      <c r="D143" s="552" t="s">
        <v>20</v>
      </c>
      <c r="E143" s="553"/>
      <c r="F143" s="55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79000</v>
      </c>
      <c r="M144" s="537">
        <f ca="1">IFERROR(__xludf.DUMMYFUNCTION("IMPORTRANGE(""https://docs.google.com/spreadsheets/d/1Yj_ptqi66GCucihVvJfMjLAmec39IyEx_6qawtMGysU/edit?usp=sharing"",""สบก!BJ53"")"),70625)</f>
        <v>70625</v>
      </c>
      <c r="N144" s="538">
        <f ca="1">IFERROR(__xludf.DUMMYFUNCTION("IMPORTRANGE(""https://docs.google.com/spreadsheets/d/1Yj_ptqi66GCucihVvJfMjLAmec39IyEx_6qawtMGysU/edit?usp=sharing"",""สบก!BK53"")"),57200)</f>
        <v>57200</v>
      </c>
      <c r="O144" s="169">
        <f ca="1">IF(L144&gt;0,N144*100/L144,0)</f>
        <v>72.405063291139243</v>
      </c>
      <c r="P144" s="169">
        <f ca="1">IF(M144&gt;0,N144*100/M144,0)</f>
        <v>80.991150442477874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537">
        <f ca="1">IFERROR(__xludf.DUMMYFUNCTION("IMPORTRANGE(""https://docs.google.com/spreadsheets/d/1Yj_ptqi66GCucihVvJfMjLAmec39IyEx_6qawtMGysU/edit?usp=sharing"",""สบก!BF53"")"),0)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537">
        <f ca="1">IFERROR(__xludf.DUMMYFUNCTION("IMPORTRANGE(""https://docs.google.com/spreadsheets/d/1Yj_ptqi66GCucihVvJfMjLAmec39IyEx_6qawtMGysU/edit?usp=sharing"",""สบก!BG53"")"),79000)</f>
        <v>79000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52" t="s">
        <v>23</v>
      </c>
      <c r="E147" s="553"/>
      <c r="F147" s="89"/>
      <c r="G147" s="82" t="s">
        <v>18</v>
      </c>
      <c r="H147" s="172" t="s">
        <v>12</v>
      </c>
      <c r="I147" s="188"/>
      <c r="J147" s="188"/>
      <c r="K147" s="224"/>
      <c r="L147" s="535">
        <v>0</v>
      </c>
      <c r="M147" s="535"/>
      <c r="N147" s="41"/>
      <c r="O147" s="535"/>
      <c r="P147" s="535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533">
        <f ca="1">IFERROR(__xludf.DUMMYFUNCTION("IMPORTRANGE(""https://docs.google.com/spreadsheets/d/1Yj_ptqi66GCucihVvJfMjLAmec39IyEx_6qawtMGysU/edit?usp=sharing"",""สบก!BH53"")"),0)</f>
        <v>0</v>
      </c>
      <c r="M148" s="536"/>
      <c r="N148" s="533">
        <f ca="1">IFERROR(__xludf.DUMMYFUNCTION("IMPORTRANGE(""https://docs.google.com/spreadsheets/d/1Yj_ptqi66GCucihVvJfMjLAmec39IyEx_6qawtMGysU/edit?usp=sharing"",""สบก!BL53"")"),0)</f>
        <v>0</v>
      </c>
      <c r="O148" s="536">
        <f ca="1">IF(L148&gt;0,N148*100/L148,0)</f>
        <v>0</v>
      </c>
      <c r="P148" s="536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IFERROR(__xludf.DUMMYFUNCTION("IMPORTRANGE(""https://docs.google.com/spreadsheets/d/1XL5vhW3sbDhbH9Cz0tuDiY8C3ctxq1tqvaCgkFb8cCA/edit?usp=sharing"",""หนองคาย!I74"")"),4)</f>
        <v>4</v>
      </c>
      <c r="J149" s="275">
        <f ca="1">IFERROR(__xludf.DUMMYFUNCTION("IMPORTRANGE(""https://docs.google.com/spreadsheets/d/1XL5vhW3sbDhbH9Cz0tuDiY8C3ctxq1tqvaCgkFb8cCA/edit?usp=sharing"",""หนองคาย!J74"")"),2)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IFERROR(__xludf.DUMMYFUNCTION("IMPORTRANGE(""https://docs.google.com/spreadsheets/d/1XL5vhW3sbDhbH9Cz0tuDiY8C3ctxq1tqvaCgkFb8cCA/edit?usp=sharing"",""หนองคาย!J79"")"),0)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IFERROR(__xludf.DUMMYFUNCTION("IMPORTRANGE(""https://docs.google.com/spreadsheets/d/1XL5vhW3sbDhbH9Cz0tuDiY8C3ctxq1tqvaCgkFb8cCA/edit?usp=sharing"",""หนองคาย!J80"")"),1)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IFERROR(__xludf.DUMMYFUNCTION("IMPORTRANGE(""https://docs.google.com/spreadsheets/d/1XL5vhW3sbDhbH9Cz0tuDiY8C3ctxq1tqvaCgkFb8cCA/edit?usp=sharing"",""หนองคาย!J81"")"),1)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IFERROR(__xludf.DUMMYFUNCTION("IMPORTRANGE(""https://docs.google.com/spreadsheets/d/1XL5vhW3sbDhbH9Cz0tuDiY8C3ctxq1tqvaCgkFb8cCA/edit?usp=sharing"",""หนองคาย!J82"")"),1)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IFERROR(__xludf.DUMMYFUNCTION("IMPORTRANGE(""https://docs.google.com/spreadsheets/d/1XL5vhW3sbDhbH9Cz0tuDiY8C3ctxq1tqvaCgkFb8cCA/edit?usp=sharing"",""หนองคาย!I83"")"),4)</f>
        <v>4</v>
      </c>
      <c r="J158" s="189">
        <f ca="1">IFERROR(__xludf.DUMMYFUNCTION("IMPORTRANGE(""https://docs.google.com/spreadsheets/d/1XL5vhW3sbDhbH9Cz0tuDiY8C3ctxq1tqvaCgkFb8cCA/edit?usp=sharing"",""หนองคาย!J83"")"),2)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IFERROR(__xludf.DUMMYFUNCTION("IMPORTRANGE(""https://docs.google.com/spreadsheets/d/1XL5vhW3sbDhbH9Cz0tuDiY8C3ctxq1tqvaCgkFb8cCA/edit?usp=sharing"",""หนองคาย!J84"")"),0)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IFERROR(__xludf.DUMMYFUNCTION("IMPORTRANGE(""https://docs.google.com/spreadsheets/d/1XL5vhW3sbDhbH9Cz0tuDiY8C3ctxq1tqvaCgkFb8cCA/edit?usp=sharing"",""หนองคาย!J85"")"),0)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IFERROR(__xludf.DUMMYFUNCTION("IMPORTRANGE(""https://docs.google.com/spreadsheets/d/1XL5vhW3sbDhbH9Cz0tuDiY8C3ctxq1tqvaCgkFb8cCA/edit?usp=sharing"",""หนองคาย!J86"")"),0)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IFERROR(__xludf.DUMMYFUNCTION("IMPORTRANGE(""https://docs.google.com/spreadsheets/d/1XL5vhW3sbDhbH9Cz0tuDiY8C3ctxq1tqvaCgkFb8cCA/edit?usp=sharing"",""หนองคาย!J87"")"),0)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IFERROR(__xludf.DUMMYFUNCTION("IMPORTRANGE(""https://docs.google.com/spreadsheets/d/1XL5vhW3sbDhbH9Cz0tuDiY8C3ctxq1tqvaCgkFb8cCA/edit?usp=sharing"",""หนองคาย!J88"")"),0)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IFERROR(__xludf.DUMMYFUNCTION("IMPORTRANGE(""https://docs.google.com/spreadsheets/d/1XL5vhW3sbDhbH9Cz0tuDiY8C3ctxq1tqvaCgkFb8cCA/edit?usp=sharing"",""หนองคาย!I89"")"),3)</f>
        <v>3</v>
      </c>
      <c r="J164" s="284">
        <f ca="1">IFERROR(__xludf.DUMMYFUNCTION("IMPORTRANGE(""https://docs.google.com/spreadsheets/d/1XL5vhW3sbDhbH9Cz0tuDiY8C3ctxq1tqvaCgkFb8cCA/edit?usp=sharing"",""หนองคาย!J89"")"),3)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IFERROR(__xludf.DUMMYFUNCTION("IMPORTRANGE(""https://docs.google.com/spreadsheets/d/1XL5vhW3sbDhbH9Cz0tuDiY8C3ctxq1tqvaCgkFb8cCA/edit?usp=sharing"",""หนองคาย!J94"")"),0)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IFERROR(__xludf.DUMMYFUNCTION("IMPORTRANGE(""https://docs.google.com/spreadsheets/d/1XL5vhW3sbDhbH9Cz0tuDiY8C3ctxq1tqvaCgkFb8cCA/edit?usp=sharing"",""หนองคาย!J95"")"),1)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IFERROR(__xludf.DUMMYFUNCTION("IMPORTRANGE(""https://docs.google.com/spreadsheets/d/1XL5vhW3sbDhbH9Cz0tuDiY8C3ctxq1tqvaCgkFb8cCA/edit?usp=sharing"",""หนองคาย!J96"")"),1)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IFERROR(__xludf.DUMMYFUNCTION("IMPORTRANGE(""https://docs.google.com/spreadsheets/d/1XL5vhW3sbDhbH9Cz0tuDiY8C3ctxq1tqvaCgkFb8cCA/edit?usp=sharing"",""หนองคาย!J97"")"),1)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IFERROR(__xludf.DUMMYFUNCTION("IMPORTRANGE(""https://docs.google.com/spreadsheets/d/1XL5vhW3sbDhbH9Cz0tuDiY8C3ctxq1tqvaCgkFb8cCA/edit?usp=sharing"",""หนองคาย!I98"")"),3)</f>
        <v>3</v>
      </c>
      <c r="J173" s="189">
        <f ca="1">IFERROR(__xludf.DUMMYFUNCTION("IMPORTRANGE(""https://docs.google.com/spreadsheets/d/1XL5vhW3sbDhbH9Cz0tuDiY8C3ctxq1tqvaCgkFb8cCA/edit?usp=sharing"",""หนองคาย!J98"")"),3)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IFERROR(__xludf.DUMMYFUNCTION("IMPORTRANGE(""https://docs.google.com/spreadsheets/d/1XL5vhW3sbDhbH9Cz0tuDiY8C3ctxq1tqvaCgkFb8cCA/edit?usp=sharing"",""หนองคาย!J99"")"),0)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IFERROR(__xludf.DUMMYFUNCTION("IMPORTRANGE(""https://docs.google.com/spreadsheets/d/1XL5vhW3sbDhbH9Cz0tuDiY8C3ctxq1tqvaCgkFb8cCA/edit?usp=sharing"",""หนองคาย!J100"")"),0)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IFERROR(__xludf.DUMMYFUNCTION("IMPORTRANGE(""https://docs.google.com/spreadsheets/d/1XL5vhW3sbDhbH9Cz0tuDiY8C3ctxq1tqvaCgkFb8cCA/edit?usp=sharing"",""หนองคาย!I101"")"),1)</f>
        <v>1</v>
      </c>
      <c r="J176" s="284">
        <f ca="1">IFERROR(__xludf.DUMMYFUNCTION("IMPORTRANGE(""https://docs.google.com/spreadsheets/d/1XL5vhW3sbDhbH9Cz0tuDiY8C3ctxq1tqvaCgkFb8cCA/edit?usp=sharing"",""หนองคาย!J101"")"),1)</f>
        <v>1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IFERROR(__xludf.DUMMYFUNCTION("IMPORTRANGE(""https://docs.google.com/spreadsheets/d/1XL5vhW3sbDhbH9Cz0tuDiY8C3ctxq1tqvaCgkFb8cCA/edit?usp=sharing"",""หนองคาย!J106"")"),0)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IFERROR(__xludf.DUMMYFUNCTION("IMPORTRANGE(""https://docs.google.com/spreadsheets/d/1XL5vhW3sbDhbH9Cz0tuDiY8C3ctxq1tqvaCgkFb8cCA/edit?usp=sharing"",""หนองคาย!J107"")"),1)</f>
        <v>1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IFERROR(__xludf.DUMMYFUNCTION("IMPORTRANGE(""https://docs.google.com/spreadsheets/d/1XL5vhW3sbDhbH9Cz0tuDiY8C3ctxq1tqvaCgkFb8cCA/edit?usp=sharing"",""หนองคาย!J108"")"),1)</f>
        <v>1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IFERROR(__xludf.DUMMYFUNCTION("IMPORTRANGE(""https://docs.google.com/spreadsheets/d/1XL5vhW3sbDhbH9Cz0tuDiY8C3ctxq1tqvaCgkFb8cCA/edit?usp=sharing"",""หนองคาย!J109"")"),1)</f>
        <v>1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IFERROR(__xludf.DUMMYFUNCTION("IMPORTRANGE(""https://docs.google.com/spreadsheets/d/1XL5vhW3sbDhbH9Cz0tuDiY8C3ctxq1tqvaCgkFb8cCA/edit?usp=sharing"",""หนองคาย!I110"")"),1)</f>
        <v>1</v>
      </c>
      <c r="J185" s="204">
        <f ca="1">IFERROR(__xludf.DUMMYFUNCTION("IMPORTRANGE(""https://docs.google.com/spreadsheets/d/1XL5vhW3sbDhbH9Cz0tuDiY8C3ctxq1tqvaCgkFb8cCA/edit?usp=sharing"",""หนองคาย!J110"")"),0)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IFERROR(__xludf.DUMMYFUNCTION("IMPORTRANGE(""https://docs.google.com/spreadsheets/d/1XL5vhW3sbDhbH9Cz0tuDiY8C3ctxq1tqvaCgkFb8cCA/edit?usp=sharing"",""หนองคาย!I111"")"),1)</f>
        <v>1</v>
      </c>
      <c r="J186" s="204">
        <f ca="1">IFERROR(__xludf.DUMMYFUNCTION("IMPORTRANGE(""https://docs.google.com/spreadsheets/d/1XL5vhW3sbDhbH9Cz0tuDiY8C3ctxq1tqvaCgkFb8cCA/edit?usp=sharing"",""หนองคาย!J111"")"),1)</f>
        <v>1</v>
      </c>
      <c r="K186" s="224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IFERROR(__xludf.DUMMYFUNCTION("IMPORTRANGE(""https://docs.google.com/spreadsheets/d/1XL5vhW3sbDhbH9Cz0tuDiY8C3ctxq1tqvaCgkFb8cCA/edit?usp=sharing"",""หนองคาย!J112"")"),0)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IFERROR(__xludf.DUMMYFUNCTION("IMPORTRANGE(""https://docs.google.com/spreadsheets/d/1XL5vhW3sbDhbH9Cz0tuDiY8C3ctxq1tqvaCgkFb8cCA/edit?usp=sharing"",""หนองคาย!J113"")"),0)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IFERROR(__xludf.DUMMYFUNCTION("IMPORTRANGE(""https://docs.google.com/spreadsheets/d/1XL5vhW3sbDhbH9Cz0tuDiY8C3ctxq1tqvaCgkFb8cCA/edit?usp=sharing"",""หนองคาย!I114"")"),30000)</f>
        <v>30000</v>
      </c>
      <c r="J189" s="284">
        <f ca="1">IFERROR(__xludf.DUMMYFUNCTION("IMPORTRANGE(""https://docs.google.com/spreadsheets/d/1XL5vhW3sbDhbH9Cz0tuDiY8C3ctxq1tqvaCgkFb8cCA/edit?usp=sharing"",""หนองคาย!J114"")"),0)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IFERROR(__xludf.DUMMYFUNCTION("IMPORTRANGE(""https://docs.google.com/spreadsheets/d/1XL5vhW3sbDhbH9Cz0tuDiY8C3ctxq1tqvaCgkFb8cCA/edit?usp=sharing"",""หนองคาย!J119"")"),0)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IFERROR(__xludf.DUMMYFUNCTION("IMPORTRANGE(""https://docs.google.com/spreadsheets/d/1XL5vhW3sbDhbH9Cz0tuDiY8C3ctxq1tqvaCgkFb8cCA/edit?usp=sharing"",""หนองคาย!J120"")"),1)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IFERROR(__xludf.DUMMYFUNCTION("IMPORTRANGE(""https://docs.google.com/spreadsheets/d/1XL5vhW3sbDhbH9Cz0tuDiY8C3ctxq1tqvaCgkFb8cCA/edit?usp=sharing"",""หนองคาย!J121"")"),1)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IFERROR(__xludf.DUMMYFUNCTION("IMPORTRANGE(""https://docs.google.com/spreadsheets/d/1XL5vhW3sbDhbH9Cz0tuDiY8C3ctxq1tqvaCgkFb8cCA/edit?usp=sharing"",""หนองคาย!J122"")"),0)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IFERROR(__xludf.DUMMYFUNCTION("IMPORTRANGE(""https://docs.google.com/spreadsheets/d/1XL5vhW3sbDhbH9Cz0tuDiY8C3ctxq1tqvaCgkFb8cCA/edit?usp=sharing"",""หนองคาย!I124"")"),30000)</f>
        <v>30000</v>
      </c>
      <c r="J199" s="189">
        <f ca="1">IFERROR(__xludf.DUMMYFUNCTION("IMPORTRANGE(""https://docs.google.com/spreadsheets/d/1XL5vhW3sbDhbH9Cz0tuDiY8C3ctxq1tqvaCgkFb8cCA/edit?usp=sharing"",""หนองคาย!J124"")"),0)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IFERROR(__xludf.DUMMYFUNCTION("IMPORTRANGE(""https://docs.google.com/spreadsheets/d/1XL5vhW3sbDhbH9Cz0tuDiY8C3ctxq1tqvaCgkFb8cCA/edit?usp=sharing"",""หนองคาย!I125"")"),30000)</f>
        <v>30000</v>
      </c>
      <c r="J200" s="189">
        <f ca="1">IFERROR(__xludf.DUMMYFUNCTION("IMPORTRANGE(""https://docs.google.com/spreadsheets/d/1XL5vhW3sbDhbH9Cz0tuDiY8C3ctxq1tqvaCgkFb8cCA/edit?usp=sharing"",""หนองคาย!J125"")"),0)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IFERROR(__xludf.DUMMYFUNCTION("IMPORTRANGE(""https://docs.google.com/spreadsheets/d/1XL5vhW3sbDhbH9Cz0tuDiY8C3ctxq1tqvaCgkFb8cCA/edit?usp=sharing"",""หนองคาย!I126"")"),0)</f>
        <v>0</v>
      </c>
      <c r="J201" s="189">
        <f ca="1">IFERROR(__xludf.DUMMYFUNCTION("IMPORTRANGE(""https://docs.google.com/spreadsheets/d/1XL5vhW3sbDhbH9Cz0tuDiY8C3ctxq1tqvaCgkFb8cCA/edit?usp=sharing"",""หนองคาย!J126"")"),0)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IFERROR(__xludf.DUMMYFUNCTION("IMPORTRANGE(""https://docs.google.com/spreadsheets/d/1XL5vhW3sbDhbH9Cz0tuDiY8C3ctxq1tqvaCgkFb8cCA/edit?usp=sharing"",""หนองคาย!J127"")"),0)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IFERROR(__xludf.DUMMYFUNCTION("IMPORTRANGE(""https://docs.google.com/spreadsheets/d/1XL5vhW3sbDhbH9Cz0tuDiY8C3ctxq1tqvaCgkFb8cCA/edit?usp=sharing"",""หนองคาย!J128"")"),0)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IFERROR(__xludf.DUMMYFUNCTION("IMPORTRANGE(""https://docs.google.com/spreadsheets/d/1XL5vhW3sbDhbH9Cz0tuDiY8C3ctxq1tqvaCgkFb8cCA/edit?usp=sharing"",""หนองคาย!I129"")"),0)</f>
        <v>0</v>
      </c>
      <c r="J204" s="284">
        <f ca="1">IFERROR(__xludf.DUMMYFUNCTION("IMPORTRANGE(""https://docs.google.com/spreadsheets/d/1XL5vhW3sbDhbH9Cz0tuDiY8C3ctxq1tqvaCgkFb8cCA/edit?usp=sharing"",""หนองคาย!J129"")"),0)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IFERROR(__xludf.DUMMYFUNCTION("IMPORTRANGE(""https://docs.google.com/spreadsheets/d/1XL5vhW3sbDhbH9Cz0tuDiY8C3ctxq1tqvaCgkFb8cCA/edit?usp=sharing"",""หนองคาย!J134"")"),0)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IFERROR(__xludf.DUMMYFUNCTION("IMPORTRANGE(""https://docs.google.com/spreadsheets/d/1XL5vhW3sbDhbH9Cz0tuDiY8C3ctxq1tqvaCgkFb8cCA/edit?usp=sharing"",""หนองคาย!J135"")"),0)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IFERROR(__xludf.DUMMYFUNCTION("IMPORTRANGE(""https://docs.google.com/spreadsheets/d/1XL5vhW3sbDhbH9Cz0tuDiY8C3ctxq1tqvaCgkFb8cCA/edit?usp=sharing"",""หนองคาย!J136"")"),0)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IFERROR(__xludf.DUMMYFUNCTION("IMPORTRANGE(""https://docs.google.com/spreadsheets/d/1XL5vhW3sbDhbH9Cz0tuDiY8C3ctxq1tqvaCgkFb8cCA/edit?usp=sharing"",""หนองคาย!J137"")"),0)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IFERROR(__xludf.DUMMYFUNCTION("IMPORTRANGE(""https://docs.google.com/spreadsheets/d/1XL5vhW3sbDhbH9Cz0tuDiY8C3ctxq1tqvaCgkFb8cCA/edit?usp=sharing"",""หนองคาย!I138"")"),0)</f>
        <v>0</v>
      </c>
      <c r="J213" s="204">
        <f ca="1">IFERROR(__xludf.DUMMYFUNCTION("IMPORTRANGE(""https://docs.google.com/spreadsheets/d/1XL5vhW3sbDhbH9Cz0tuDiY8C3ctxq1tqvaCgkFb8cCA/edit?usp=sharing"",""หนองคาย!J138"")"),0)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IFERROR(__xludf.DUMMYFUNCTION("IMPORTRANGE(""https://docs.google.com/spreadsheets/d/1XL5vhW3sbDhbH9Cz0tuDiY8C3ctxq1tqvaCgkFb8cCA/edit?usp=sharing"",""หนองคาย!I140"")"),0)</f>
        <v>0</v>
      </c>
      <c r="J215" s="204">
        <f ca="1">IFERROR(__xludf.DUMMYFUNCTION("IMPORTRANGE(""https://docs.google.com/spreadsheets/d/1XL5vhW3sbDhbH9Cz0tuDiY8C3ctxq1tqvaCgkFb8cCA/edit?usp=sharing"",""หนองคาย!J140"")"),0)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IFERROR(__xludf.DUMMYFUNCTION("IMPORTRANGE(""https://docs.google.com/spreadsheets/d/1XL5vhW3sbDhbH9Cz0tuDiY8C3ctxq1tqvaCgkFb8cCA/edit?usp=sharing"",""หนองคาย!I141"")"),0)</f>
        <v>0</v>
      </c>
      <c r="J216" s="204">
        <f ca="1">IFERROR(__xludf.DUMMYFUNCTION("IMPORTRANGE(""https://docs.google.com/spreadsheets/d/1XL5vhW3sbDhbH9Cz0tuDiY8C3ctxq1tqvaCgkFb8cCA/edit?usp=sharing"",""หนองคาย!J141"")"),0)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IFERROR(__xludf.DUMMYFUNCTION("IMPORTRANGE(""https://docs.google.com/spreadsheets/d/1XL5vhW3sbDhbH9Cz0tuDiY8C3ctxq1tqvaCgkFb8cCA/edit?usp=sharing"",""หนองคาย!J142"")"),0)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IFERROR(__xludf.DUMMYFUNCTION("IMPORTRANGE(""https://docs.google.com/spreadsheets/d/1XL5vhW3sbDhbH9Cz0tuDiY8C3ctxq1tqvaCgkFb8cCA/edit?usp=sharing"",""หนองคาย!J143"")"),0)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IFERROR(__xludf.DUMMYFUNCTION("IMPORTRANGE(""https://docs.google.com/spreadsheets/d/1XL5vhW3sbDhbH9Cz0tuDiY8C3ctxq1tqvaCgkFb8cCA/edit?usp=sharing"",""หนองคาย!I144"")"),15)</f>
        <v>15</v>
      </c>
      <c r="J219" s="267">
        <f ca="1">IFERROR(__xludf.DUMMYFUNCTION("IMPORTRANGE(""https://docs.google.com/spreadsheets/d/1XL5vhW3sbDhbH9Cz0tuDiY8C3ctxq1tqvaCgkFb8cCA/edit?usp=sharing"",""หนองคาย!J144"")"),15)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54" t="s">
        <v>17</v>
      </c>
      <c r="E220" s="555"/>
      <c r="F220" s="555"/>
      <c r="G220" s="55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52" t="s">
        <v>20</v>
      </c>
      <c r="E223" s="553"/>
      <c r="F223" s="55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537">
        <f ca="1">IFERROR(__xludf.DUMMYFUNCTION("IMPORTRANGE(""https://docs.google.com/spreadsheets/d/1Yj_ptqi66GCucihVvJfMjLAmec39IyEx_6qawtMGysU/edit?usp=sharing"",""สบก!BS53"")"),21125)</f>
        <v>21125</v>
      </c>
      <c r="N224" s="538">
        <f ca="1">IFERROR(__xludf.DUMMYFUNCTION("IMPORTRANGE(""https://docs.google.com/spreadsheets/d/1Yj_ptqi66GCucihVvJfMjLAmec39IyEx_6qawtMGysU/edit?usp=sharing"",""สบก!BT53"")"),21125)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537">
        <f ca="1">IFERROR(__xludf.DUMMYFUNCTION("IMPORTRANGE(""https://docs.google.com/spreadsheets/d/1Yj_ptqi66GCucihVvJfMjLAmec39IyEx_6qawtMGysU/edit?usp=sharing"",""สบก!BO53"")"),0)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537">
        <f ca="1">IFERROR(__xludf.DUMMYFUNCTION("IMPORTRANGE(""https://docs.google.com/spreadsheets/d/1Yj_ptqi66GCucihVvJfMjLAmec39IyEx_6qawtMGysU/edit?usp=sharing"",""สบก!BP53"")"),21125)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52" t="s">
        <v>23</v>
      </c>
      <c r="E227" s="553"/>
      <c r="F227" s="89"/>
      <c r="G227" s="82" t="s">
        <v>18</v>
      </c>
      <c r="H227" s="172" t="s">
        <v>12</v>
      </c>
      <c r="I227" s="201"/>
      <c r="J227" s="201"/>
      <c r="K227" s="290"/>
      <c r="L227" s="535">
        <v>0</v>
      </c>
      <c r="M227" s="535"/>
      <c r="N227" s="41"/>
      <c r="O227" s="535"/>
      <c r="P227" s="535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533">
        <f ca="1">IFERROR(__xludf.DUMMYFUNCTION("IMPORTRANGE(""https://docs.google.com/spreadsheets/d/1Yj_ptqi66GCucihVvJfMjLAmec39IyEx_6qawtMGysU/edit?usp=sharing"",""สบก!BQ53"")"),0)</f>
        <v>0</v>
      </c>
      <c r="M228" s="536"/>
      <c r="N228" s="533">
        <f ca="1">IFERROR(__xludf.DUMMYFUNCTION("IMPORTRANGE(""https://docs.google.com/spreadsheets/d/1Yj_ptqi66GCucihVvJfMjLAmec39IyEx_6qawtMGysU/edit?usp=sharing"",""สบก!BU53"")"),0)</f>
        <v>0</v>
      </c>
      <c r="O228" s="536">
        <f ca="1">IF(L228&gt;0,N228*100/L228,0)</f>
        <v>0</v>
      </c>
      <c r="P228" s="536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IFERROR(__xludf.DUMMYFUNCTION("IMPORTRANGE(""https://docs.google.com/spreadsheets/d/1XL5vhW3sbDhbH9Cz0tuDiY8C3ctxq1tqvaCgkFb8cCA/edit?usp=sharing"",""หนองคาย!I149"")"),15)</f>
        <v>15</v>
      </c>
      <c r="J229" s="267">
        <f ca="1">IFERROR(__xludf.DUMMYFUNCTION("IMPORTRANGE(""https://docs.google.com/spreadsheets/d/1XL5vhW3sbDhbH9Cz0tuDiY8C3ctxq1tqvaCgkFb8cCA/edit?usp=sharing"",""หนองคาย!J149"")"),15)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IFERROR(__xludf.DUMMYFUNCTION("IMPORTRANGE(""https://docs.google.com/spreadsheets/d/1XL5vhW3sbDhbH9Cz0tuDiY8C3ctxq1tqvaCgkFb8cCA/edit?usp=sharing"",""หนองคาย!J151"")"),0)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IFERROR(__xludf.DUMMYFUNCTION("IMPORTRANGE(""https://docs.google.com/spreadsheets/d/1XL5vhW3sbDhbH9Cz0tuDiY8C3ctxq1tqvaCgkFb8cCA/edit?usp=sharing"",""หนองคาย!J152"")"),1)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IFERROR(__xludf.DUMMYFUNCTION("IMPORTRANGE(""https://docs.google.com/spreadsheets/d/1XL5vhW3sbDhbH9Cz0tuDiY8C3ctxq1tqvaCgkFb8cCA/edit?usp=sharing"",""หนองคาย!J153"")"),1)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IFERROR(__xludf.DUMMYFUNCTION("IMPORTRANGE(""https://docs.google.com/spreadsheets/d/1XL5vhW3sbDhbH9Cz0tuDiY8C3ctxq1tqvaCgkFb8cCA/edit?usp=sharing"",""หนองคาย!J154"")"),1)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IFERROR(__xludf.DUMMYFUNCTION("IMPORTRANGE(""https://docs.google.com/spreadsheets/d/1XL5vhW3sbDhbH9Cz0tuDiY8C3ctxq1tqvaCgkFb8cCA/edit?usp=sharing"",""หนองคาย!I155"")"),15)</f>
        <v>15</v>
      </c>
      <c r="J235" s="189">
        <f ca="1">IFERROR(__xludf.DUMMYFUNCTION("IMPORTRANGE(""https://docs.google.com/spreadsheets/d/1XL5vhW3sbDhbH9Cz0tuDiY8C3ctxq1tqvaCgkFb8cCA/edit?usp=sharing"",""หนองคาย!J155"")"),15)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IFERROR(__xludf.DUMMYFUNCTION("IMPORTRANGE(""https://docs.google.com/spreadsheets/d/1XL5vhW3sbDhbH9Cz0tuDiY8C3ctxq1tqvaCgkFb8cCA/edit?usp=sharing"",""หนองคาย!J156"")"),1)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IFERROR(__xludf.DUMMYFUNCTION("IMPORTRANGE(""https://docs.google.com/spreadsheets/d/1XL5vhW3sbDhbH9Cz0tuDiY8C3ctxq1tqvaCgkFb8cCA/edit?usp=sharing"",""หนองคาย!J157"")"),0)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IFERROR(__xludf.DUMMYFUNCTION("IMPORTRANGE(""https://docs.google.com/spreadsheets/d/1XL5vhW3sbDhbH9Cz0tuDiY8C3ctxq1tqvaCgkFb8cCA/edit?usp=sharing"",""หนองคาย!I158"")"),0)</f>
        <v>0</v>
      </c>
      <c r="J238" s="267">
        <f ca="1">IFERROR(__xludf.DUMMYFUNCTION("IMPORTRANGE(""https://docs.google.com/spreadsheets/d/1XL5vhW3sbDhbH9Cz0tuDiY8C3ctxq1tqvaCgkFb8cCA/edit?usp=sharing"",""หนองคาย!J158"")"),0)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IFERROR(__xludf.DUMMYFUNCTION("IMPORTRANGE(""https://docs.google.com/spreadsheets/d/1XL5vhW3sbDhbH9Cz0tuDiY8C3ctxq1tqvaCgkFb8cCA/edit?usp=sharing"",""หนองคาย!J159"")"),"")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IFERROR(__xludf.DUMMYFUNCTION("IMPORTRANGE(""https://docs.google.com/spreadsheets/d/1XL5vhW3sbDhbH9Cz0tuDiY8C3ctxq1tqvaCgkFb8cCA/edit?usp=sharing"",""หนองคาย!J161"")"),0)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IFERROR(__xludf.DUMMYFUNCTION("IMPORTRANGE(""https://docs.google.com/spreadsheets/d/1XL5vhW3sbDhbH9Cz0tuDiY8C3ctxq1tqvaCgkFb8cCA/edit?usp=sharing"",""หนองคาย!J162"")"),0)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IFERROR(__xludf.DUMMYFUNCTION("IMPORTRANGE(""https://docs.google.com/spreadsheets/d/1XL5vhW3sbDhbH9Cz0tuDiY8C3ctxq1tqvaCgkFb8cCA/edit?usp=sharing"",""หนองคาย!J163"")"),0)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IFERROR(__xludf.DUMMYFUNCTION("IMPORTRANGE(""https://docs.google.com/spreadsheets/d/1XL5vhW3sbDhbH9Cz0tuDiY8C3ctxq1tqvaCgkFb8cCA/edit?usp=sharing"",""หนองคาย!I164"")"),0)</f>
        <v>0</v>
      </c>
      <c r="J244" s="188">
        <f ca="1">IFERROR(__xludf.DUMMYFUNCTION("IMPORTRANGE(""https://docs.google.com/spreadsheets/d/1XL5vhW3sbDhbH9Cz0tuDiY8C3ctxq1tqvaCgkFb8cCA/edit?usp=sharing"",""หนองคาย!J164"")"),0)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IFERROR(__xludf.DUMMYFUNCTION("IMPORTRANGE(""https://docs.google.com/spreadsheets/d/1XL5vhW3sbDhbH9Cz0tuDiY8C3ctxq1tqvaCgkFb8cCA/edit?usp=sharing"",""หนองคาย!J165"")"),0)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IFERROR(__xludf.DUMMYFUNCTION("IMPORTRANGE(""https://docs.google.com/spreadsheets/d/1XL5vhW3sbDhbH9Cz0tuDiY8C3ctxq1tqvaCgkFb8cCA/edit?usp=sharing"",""หนองคาย!J166"")"),0)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IFERROR(__xludf.DUMMYFUNCTION("IMPORTRANGE(""https://docs.google.com/spreadsheets/d/1XL5vhW3sbDhbH9Cz0tuDiY8C3ctxq1tqvaCgkFb8cCA/edit?usp=sharing"",""หนองคาย!I169"")"),25)</f>
        <v>25</v>
      </c>
      <c r="J249" s="316">
        <f ca="1">IFERROR(__xludf.DUMMYFUNCTION("IMPORTRANGE(""https://docs.google.com/spreadsheets/d/1XL5vhW3sbDhbH9Cz0tuDiY8C3ctxq1tqvaCgkFb8cCA/edit?usp=sharing"",""หนองคาย!J169"")"),25)</f>
        <v>25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54" t="s">
        <v>17</v>
      </c>
      <c r="E250" s="555"/>
      <c r="F250" s="555"/>
      <c r="G250" s="555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47500</v>
      </c>
      <c r="N250" s="152">
        <f t="shared" ca="1" si="77"/>
        <v>40724</v>
      </c>
      <c r="O250" s="151">
        <f t="shared" ref="O250:O252" ca="1" si="78">IF(L250&gt;0,N250*100/L250,0)</f>
        <v>45.757303370786516</v>
      </c>
      <c r="P250" s="151">
        <f t="shared" ref="P250:P252" ca="1" si="79">IF(M250&gt;0,N250*100/M250,0)</f>
        <v>85.734736842105264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89000</v>
      </c>
      <c r="M252" s="157">
        <f t="shared" ca="1" si="81"/>
        <v>47500</v>
      </c>
      <c r="N252" s="157">
        <f t="shared" ca="1" si="81"/>
        <v>40724</v>
      </c>
      <c r="O252" s="156">
        <f t="shared" ca="1" si="78"/>
        <v>45.757303370786516</v>
      </c>
      <c r="P252" s="156">
        <f t="shared" ca="1" si="79"/>
        <v>85.734736842105264</v>
      </c>
    </row>
    <row r="253" spans="1:16" ht="21.75" customHeight="1" x14ac:dyDescent="0.45">
      <c r="A253" s="158"/>
      <c r="B253" s="159"/>
      <c r="C253" s="159" t="s">
        <v>16</v>
      </c>
      <c r="D253" s="552" t="s">
        <v>20</v>
      </c>
      <c r="E253" s="553"/>
      <c r="F253" s="55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89000</v>
      </c>
      <c r="M254" s="537">
        <f ca="1">IFERROR(__xludf.DUMMYFUNCTION("IMPORTRANGE(""https://docs.google.com/spreadsheets/d/1Yj_ptqi66GCucihVvJfMjLAmec39IyEx_6qawtMGysU/edit?usp=sharing"",""สบก!CB53"")"),47500)</f>
        <v>47500</v>
      </c>
      <c r="N254" s="538">
        <f ca="1">IFERROR(__xludf.DUMMYFUNCTION("IMPORTRANGE(""https://docs.google.com/spreadsheets/d/1Yj_ptqi66GCucihVvJfMjLAmec39IyEx_6qawtMGysU/edit?usp=sharing"",""สบก!CC53"")"),40724)</f>
        <v>40724</v>
      </c>
      <c r="O254" s="169">
        <f ca="1">IF(L254&gt;0,N254*100/L254,0)</f>
        <v>45.757303370786516</v>
      </c>
      <c r="P254" s="169">
        <f ca="1">IF(M254&gt;0,N254*100/M254,0)</f>
        <v>85.734736842105264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537">
        <f ca="1">IFERROR(__xludf.DUMMYFUNCTION("IMPORTRANGE(""https://docs.google.com/spreadsheets/d/1Yj_ptqi66GCucihVvJfMjLAmec39IyEx_6qawtMGysU/edit?usp=sharing"",""สบก!BX53"")"),0)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537">
        <f ca="1">IFERROR(__xludf.DUMMYFUNCTION("IMPORTRANGE(""https://docs.google.com/spreadsheets/d/1Yj_ptqi66GCucihVvJfMjLAmec39IyEx_6qawtMGysU/edit?usp=sharing"",""สบก!BY53"")"),89000)</f>
        <v>89000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52" t="s">
        <v>23</v>
      </c>
      <c r="E257" s="553"/>
      <c r="F257" s="89"/>
      <c r="G257" s="82" t="s">
        <v>18</v>
      </c>
      <c r="H257" s="172" t="s">
        <v>12</v>
      </c>
      <c r="I257" s="162"/>
      <c r="J257" s="162"/>
      <c r="K257" s="163"/>
      <c r="L257" s="535">
        <v>0</v>
      </c>
      <c r="M257" s="535"/>
      <c r="N257" s="41"/>
      <c r="O257" s="535"/>
      <c r="P257" s="535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533">
        <f ca="1">IFERROR(__xludf.DUMMYFUNCTION("IMPORTRANGE(""https://docs.google.com/spreadsheets/d/1Yj_ptqi66GCucihVvJfMjLAmec39IyEx_6qawtMGysU/edit?usp=sharing"",""สบก!BZ53"")"),0)</f>
        <v>0</v>
      </c>
      <c r="M258" s="536"/>
      <c r="N258" s="533">
        <f ca="1">IFERROR(__xludf.DUMMYFUNCTION("IMPORTRANGE(""https://docs.google.com/spreadsheets/d/1Yj_ptqi66GCucihVvJfMjLAmec39IyEx_6qawtMGysU/edit?usp=sharing"",""สบก!CD53"")"),0)</f>
        <v>0</v>
      </c>
      <c r="O258" s="536">
        <f ca="1">IF(L258&gt;0,N258*100/L258,0)</f>
        <v>0</v>
      </c>
      <c r="P258" s="536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IFERROR(__xludf.DUMMYFUNCTION("IMPORTRANGE(""https://docs.google.com/spreadsheets/d/1XL5vhW3sbDhbH9Cz0tuDiY8C3ctxq1tqvaCgkFb8cCA/edit?usp=sharing"",""หนองคาย!J175"")"),0)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IFERROR(__xludf.DUMMYFUNCTION("IMPORTRANGE(""https://docs.google.com/spreadsheets/d/1XL5vhW3sbDhbH9Cz0tuDiY8C3ctxq1tqvaCgkFb8cCA/edit?usp=sharing"",""หนองคาย!J176"")"),1)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IFERROR(__xludf.DUMMYFUNCTION("IMPORTRANGE(""https://docs.google.com/spreadsheets/d/1XL5vhW3sbDhbH9Cz0tuDiY8C3ctxq1tqvaCgkFb8cCA/edit?usp=sharing"",""หนองคาย!J177"")"),1)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IFERROR(__xludf.DUMMYFUNCTION("IMPORTRANGE(""https://docs.google.com/spreadsheets/d/1XL5vhW3sbDhbH9Cz0tuDiY8C3ctxq1tqvaCgkFb8cCA/edit?usp=sharing"",""หนองคาย!J178"")"),1)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IFERROR(__xludf.DUMMYFUNCTION("IMPORTRANGE(""https://docs.google.com/spreadsheets/d/1XL5vhW3sbDhbH9Cz0tuDiY8C3ctxq1tqvaCgkFb8cCA/edit?usp=sharing"",""หนองคาย!I179"")"),1)</f>
        <v>1</v>
      </c>
      <c r="J264" s="189">
        <f ca="1">IFERROR(__xludf.DUMMYFUNCTION("IMPORTRANGE(""https://docs.google.com/spreadsheets/d/1XL5vhW3sbDhbH9Cz0tuDiY8C3ctxq1tqvaCgkFb8cCA/edit?usp=sharing"",""หนองคาย!J179"")"),0)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IFERROR(__xludf.DUMMYFUNCTION("IMPORTRANGE(""https://docs.google.com/spreadsheets/d/1XL5vhW3sbDhbH9Cz0tuDiY8C3ctxq1tqvaCgkFb8cCA/edit?usp=sharing"",""หนองคาย!I180"")"),25)</f>
        <v>25</v>
      </c>
      <c r="J265" s="189">
        <f ca="1">IFERROR(__xludf.DUMMYFUNCTION("IMPORTRANGE(""https://docs.google.com/spreadsheets/d/1XL5vhW3sbDhbH9Cz0tuDiY8C3ctxq1tqvaCgkFb8cCA/edit?usp=sharing"",""หนองคาย!J180"")"),25)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IFERROR(__xludf.DUMMYFUNCTION("IMPORTRANGE(""https://docs.google.com/spreadsheets/d/1XL5vhW3sbDhbH9Cz0tuDiY8C3ctxq1tqvaCgkFb8cCA/edit?usp=sharing"",""หนองคาย!I181"")"),25)</f>
        <v>25</v>
      </c>
      <c r="J266" s="189">
        <f ca="1">IFERROR(__xludf.DUMMYFUNCTION("IMPORTRANGE(""https://docs.google.com/spreadsheets/d/1XL5vhW3sbDhbH9Cz0tuDiY8C3ctxq1tqvaCgkFb8cCA/edit?usp=sharing"",""หนองคาย!J181"")"),0)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IFERROR(__xludf.DUMMYFUNCTION("IMPORTRANGE(""https://docs.google.com/spreadsheets/d/1XL5vhW3sbDhbH9Cz0tuDiY8C3ctxq1tqvaCgkFb8cCA/edit?usp=sharing"",""หนองคาย!I182"")"),1)</f>
        <v>1</v>
      </c>
      <c r="J267" s="189">
        <f ca="1">IFERROR(__xludf.DUMMYFUNCTION("IMPORTRANGE(""https://docs.google.com/spreadsheets/d/1XL5vhW3sbDhbH9Cz0tuDiY8C3ctxq1tqvaCgkFb8cCA/edit?usp=sharing"",""หนองคาย!J182"")"),1)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IFERROR(__xludf.DUMMYFUNCTION("IMPORTRANGE(""https://docs.google.com/spreadsheets/d/1XL5vhW3sbDhbH9Cz0tuDiY8C3ctxq1tqvaCgkFb8cCA/edit?usp=sharing"",""หนองคาย!J183"")"),0)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IFERROR(__xludf.DUMMYFUNCTION("IMPORTRANGE(""https://docs.google.com/spreadsheets/d/1XL5vhW3sbDhbH9Cz0tuDiY8C3ctxq1tqvaCgkFb8cCA/edit?usp=sharing"",""หนองคาย!J184"")"),0)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IFERROR(__xludf.DUMMYFUNCTION("IMPORTRANGE(""https://docs.google.com/spreadsheets/d/1XL5vhW3sbDhbH9Cz0tuDiY8C3ctxq1tqvaCgkFb8cCA/edit?usp=sharing"",""หนองคาย!I185"")"),0)</f>
        <v>0</v>
      </c>
      <c r="J270" s="316">
        <f ca="1">IFERROR(__xludf.DUMMYFUNCTION("IMPORTRANGE(""https://docs.google.com/spreadsheets/d/1XL5vhW3sbDhbH9Cz0tuDiY8C3ctxq1tqvaCgkFb8cCA/edit?usp=sharing"",""หนองคาย!J185"")"),0)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54" t="s">
        <v>17</v>
      </c>
      <c r="E271" s="555"/>
      <c r="F271" s="555"/>
      <c r="G271" s="555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5">
      <c r="A274" s="158"/>
      <c r="B274" s="159"/>
      <c r="C274" s="159" t="s">
        <v>16</v>
      </c>
      <c r="D274" s="552" t="s">
        <v>20</v>
      </c>
      <c r="E274" s="553"/>
      <c r="F274" s="55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537">
        <f ca="1">IFERROR(__xludf.DUMMYFUNCTION("IMPORTRANGE(""https://docs.google.com/spreadsheets/d/1Yj_ptqi66GCucihVvJfMjLAmec39IyEx_6qawtMGysU/edit?usp=sharing"",""สบก!CK53"")"),0)</f>
        <v>0</v>
      </c>
      <c r="N275" s="538">
        <f ca="1">IFERROR(__xludf.DUMMYFUNCTION("IMPORTRANGE(""https://docs.google.com/spreadsheets/d/1Yj_ptqi66GCucihVvJfMjLAmec39IyEx_6qawtMGysU/edit?usp=sharing"",""สบก!CL53"")"),0)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537">
        <f ca="1">IFERROR(__xludf.DUMMYFUNCTION("IMPORTRANGE(""https://docs.google.com/spreadsheets/d/1Yj_ptqi66GCucihVvJfMjLAmec39IyEx_6qawtMGysU/edit?usp=sharing"",""สบก!CG53"")"),0)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537">
        <f ca="1">IFERROR(__xludf.DUMMYFUNCTION("IMPORTRANGE(""https://docs.google.com/spreadsheets/d/1Yj_ptqi66GCucihVvJfMjLAmec39IyEx_6qawtMGysU/edit?usp=sharing"",""สบก!CH53"")"),0)</f>
        <v>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52" t="s">
        <v>23</v>
      </c>
      <c r="E278" s="553"/>
      <c r="F278" s="89"/>
      <c r="G278" s="82" t="s">
        <v>18</v>
      </c>
      <c r="H278" s="172" t="s">
        <v>12</v>
      </c>
      <c r="I278" s="162"/>
      <c r="J278" s="162"/>
      <c r="K278" s="163"/>
      <c r="L278" s="535">
        <v>0</v>
      </c>
      <c r="M278" s="535"/>
      <c r="N278" s="41"/>
      <c r="O278" s="535"/>
      <c r="P278" s="535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533">
        <f ca="1">IFERROR(__xludf.DUMMYFUNCTION("IMPORTRANGE(""https://docs.google.com/spreadsheets/d/1Yj_ptqi66GCucihVvJfMjLAmec39IyEx_6qawtMGysU/edit?usp=sharing"",""สบก!CI53"")"),0)</f>
        <v>0</v>
      </c>
      <c r="M279" s="536"/>
      <c r="N279" s="533">
        <f ca="1">IFERROR(__xludf.DUMMYFUNCTION("IMPORTRANGE(""https://docs.google.com/spreadsheets/d/1Yj_ptqi66GCucihVvJfMjLAmec39IyEx_6qawtMGysU/edit?usp=sharing"",""สบก!CM53"")"),0)</f>
        <v>0</v>
      </c>
      <c r="O279" s="536">
        <f ca="1">IF(L279&gt;0,N279*100/L279,0)</f>
        <v>0</v>
      </c>
      <c r="P279" s="536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IFERROR(__xludf.DUMMYFUNCTION("IMPORTRANGE(""https://docs.google.com/spreadsheets/d/1XL5vhW3sbDhbH9Cz0tuDiY8C3ctxq1tqvaCgkFb8cCA/edit?usp=sharing"",""หนองคาย!J191"")"),0)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IFERROR(__xludf.DUMMYFUNCTION("IMPORTRANGE(""https://docs.google.com/spreadsheets/d/1XL5vhW3sbDhbH9Cz0tuDiY8C3ctxq1tqvaCgkFb8cCA/edit?usp=sharing"",""หนองคาย!J192"")"),0)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IFERROR(__xludf.DUMMYFUNCTION("IMPORTRANGE(""https://docs.google.com/spreadsheets/d/1XL5vhW3sbDhbH9Cz0tuDiY8C3ctxq1tqvaCgkFb8cCA/edit?usp=sharing"",""หนองคาย!J193"")"),0)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IFERROR(__xludf.DUMMYFUNCTION("IMPORTRANGE(""https://docs.google.com/spreadsheets/d/1XL5vhW3sbDhbH9Cz0tuDiY8C3ctxq1tqvaCgkFb8cCA/edit?usp=sharing"",""หนองคาย!J194"")"),0)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IFERROR(__xludf.DUMMYFUNCTION("IMPORTRANGE(""https://docs.google.com/spreadsheets/d/1XL5vhW3sbDhbH9Cz0tuDiY8C3ctxq1tqvaCgkFb8cCA/edit?usp=sharing"",""หนองคาย!I195"")"),0)</f>
        <v>0</v>
      </c>
      <c r="J285" s="189">
        <f ca="1">IFERROR(__xludf.DUMMYFUNCTION("IMPORTRANGE(""https://docs.google.com/spreadsheets/d/1XL5vhW3sbDhbH9Cz0tuDiY8C3ctxq1tqvaCgkFb8cCA/edit?usp=sharing"",""หนองคาย!J195"")"),0)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IFERROR(__xludf.DUMMYFUNCTION("IMPORTRANGE(""https://docs.google.com/spreadsheets/d/1XL5vhW3sbDhbH9Cz0tuDiY8C3ctxq1tqvaCgkFb8cCA/edit?usp=sharing"",""หนองคาย!J196"")"),0)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IFERROR(__xludf.DUMMYFUNCTION("IMPORTRANGE(""https://docs.google.com/spreadsheets/d/1XL5vhW3sbDhbH9Cz0tuDiY8C3ctxq1tqvaCgkFb8cCA/edit?usp=sharing"",""หนองคาย!J197"")"),0)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IFERROR(__xludf.DUMMYFUNCTION("IMPORTRANGE(""https://docs.google.com/spreadsheets/d/1XL5vhW3sbDhbH9Cz0tuDiY8C3ctxq1tqvaCgkFb8cCA/edit?usp=sharing"",""หนองคาย!I199"")"),0)</f>
        <v>0</v>
      </c>
      <c r="J289" s="316">
        <f ca="1">IFERROR(__xludf.DUMMYFUNCTION("IMPORTRANGE(""https://docs.google.com/spreadsheets/d/1XL5vhW3sbDhbH9Cz0tuDiY8C3ctxq1tqvaCgkFb8cCA/edit?usp=sharing"",""หนองคาย!J199"")"),0)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54" t="s">
        <v>17</v>
      </c>
      <c r="E290" s="555"/>
      <c r="F290" s="555"/>
      <c r="G290" s="55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52" t="s">
        <v>20</v>
      </c>
      <c r="E293" s="553"/>
      <c r="F293" s="55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537">
        <f ca="1">IFERROR(__xludf.DUMMYFUNCTION("IMPORTRANGE(""https://docs.google.com/spreadsheets/d/1Yj_ptqi66GCucihVvJfMjLAmec39IyEx_6qawtMGysU/edit?usp=sharing"",""สบก!CT53"")"),0)</f>
        <v>0</v>
      </c>
      <c r="N294" s="538">
        <f ca="1">IFERROR(__xludf.DUMMYFUNCTION("IMPORTRANGE(""https://docs.google.com/spreadsheets/d/1Yj_ptqi66GCucihVvJfMjLAmec39IyEx_6qawtMGysU/edit?usp=sharing"",""สบก!CU53"")"),0)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537">
        <f ca="1">IFERROR(__xludf.DUMMYFUNCTION("IMPORTRANGE(""https://docs.google.com/spreadsheets/d/1Yj_ptqi66GCucihVvJfMjLAmec39IyEx_6qawtMGysU/edit?usp=sharing"",""สบก!CP53"")"),0)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537">
        <f ca="1">IFERROR(__xludf.DUMMYFUNCTION("IMPORTRANGE(""https://docs.google.com/spreadsheets/d/1Yj_ptqi66GCucihVvJfMjLAmec39IyEx_6qawtMGysU/edit?usp=sharing"",""สบก!CQ53"")"),0)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52" t="s">
        <v>23</v>
      </c>
      <c r="E297" s="553"/>
      <c r="F297" s="89"/>
      <c r="G297" s="82" t="s">
        <v>18</v>
      </c>
      <c r="H297" s="172" t="s">
        <v>12</v>
      </c>
      <c r="I297" s="188"/>
      <c r="J297" s="188"/>
      <c r="K297" s="224"/>
      <c r="L297" s="535">
        <v>0</v>
      </c>
      <c r="M297" s="535"/>
      <c r="N297" s="41"/>
      <c r="O297" s="535"/>
      <c r="P297" s="535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533">
        <f ca="1">IFERROR(__xludf.DUMMYFUNCTION("IMPORTRANGE(""https://docs.google.com/spreadsheets/d/1Yj_ptqi66GCucihVvJfMjLAmec39IyEx_6qawtMGysU/edit?usp=sharing"",""สบก!CR53"")"),0)</f>
        <v>0</v>
      </c>
      <c r="M298" s="536"/>
      <c r="N298" s="533">
        <f ca="1">IFERROR(__xludf.DUMMYFUNCTION("IMPORTRANGE(""https://docs.google.com/spreadsheets/d/1Yj_ptqi66GCucihVvJfMjLAmec39IyEx_6qawtMGysU/edit?usp=sharing"",""สบก!CV53"")"),0)</f>
        <v>0</v>
      </c>
      <c r="O298" s="536">
        <f ca="1">IF(L298&gt;0,N298*100/L298,0)</f>
        <v>0</v>
      </c>
      <c r="P298" s="536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IFERROR(__xludf.DUMMYFUNCTION("IMPORTRANGE(""https://docs.google.com/spreadsheets/d/1XL5vhW3sbDhbH9Cz0tuDiY8C3ctxq1tqvaCgkFb8cCA/edit?usp=sharing"",""หนองคาย!J205"")"),0)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IFERROR(__xludf.DUMMYFUNCTION("IMPORTRANGE(""https://docs.google.com/spreadsheets/d/1XL5vhW3sbDhbH9Cz0tuDiY8C3ctxq1tqvaCgkFb8cCA/edit?usp=sharing"",""หนองคาย!J206"")"),0)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IFERROR(__xludf.DUMMYFUNCTION("IMPORTRANGE(""https://docs.google.com/spreadsheets/d/1XL5vhW3sbDhbH9Cz0tuDiY8C3ctxq1tqvaCgkFb8cCA/edit?usp=sharing"",""หนองคาย!J207"")"),0)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IFERROR(__xludf.DUMMYFUNCTION("IMPORTRANGE(""https://docs.google.com/spreadsheets/d/1XL5vhW3sbDhbH9Cz0tuDiY8C3ctxq1tqvaCgkFb8cCA/edit?usp=sharing"",""หนองคาย!J208"")"),0)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IFERROR(__xludf.DUMMYFUNCTION("IMPORTRANGE(""https://docs.google.com/spreadsheets/d/1XL5vhW3sbDhbH9Cz0tuDiY8C3ctxq1tqvaCgkFb8cCA/edit?usp=sharing"",""หนองคาย!I209"")"),0)</f>
        <v>0</v>
      </c>
      <c r="J304" s="204">
        <f ca="1">IFERROR(__xludf.DUMMYFUNCTION("IMPORTRANGE(""https://docs.google.com/spreadsheets/d/1XL5vhW3sbDhbH9Cz0tuDiY8C3ctxq1tqvaCgkFb8cCA/edit?usp=sharing"",""หนองคาย!J209"")"),0)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IFERROR(__xludf.DUMMYFUNCTION("IMPORTRANGE(""https://docs.google.com/spreadsheets/d/1XL5vhW3sbDhbH9Cz0tuDiY8C3ctxq1tqvaCgkFb8cCA/edit?usp=sharing"",""หนองคาย!I211"")"),0)</f>
        <v>0</v>
      </c>
      <c r="J306" s="204">
        <f ca="1">IFERROR(__xludf.DUMMYFUNCTION("IMPORTRANGE(""https://docs.google.com/spreadsheets/d/1XL5vhW3sbDhbH9Cz0tuDiY8C3ctxq1tqvaCgkFb8cCA/edit?usp=sharing"",""หนองคาย!J211"")"),0)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IFERROR(__xludf.DUMMYFUNCTION("IMPORTRANGE(""https://docs.google.com/spreadsheets/d/1XL5vhW3sbDhbH9Cz0tuDiY8C3ctxq1tqvaCgkFb8cCA/edit?usp=sharing"",""หนองคาย!J212"")"),0)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IFERROR(__xludf.DUMMYFUNCTION("IMPORTRANGE(""https://docs.google.com/spreadsheets/d/1XL5vhW3sbDhbH9Cz0tuDiY8C3ctxq1tqvaCgkFb8cCA/edit?usp=sharing"",""หนองคาย!J213"")"),0)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IFERROR(__xludf.DUMMYFUNCTION("IMPORTRANGE(""https://docs.google.com/spreadsheets/d/1XL5vhW3sbDhbH9Cz0tuDiY8C3ctxq1tqvaCgkFb8cCA/edit?usp=sharing"",""หนองคาย!I214"")"),0)</f>
        <v>0</v>
      </c>
      <c r="J309" s="333">
        <f ca="1">IFERROR(__xludf.DUMMYFUNCTION("IMPORTRANGE(""https://docs.google.com/spreadsheets/d/1XL5vhW3sbDhbH9Cz0tuDiY8C3ctxq1tqvaCgkFb8cCA/edit?usp=sharing"",""หนองคาย!J214"")"),0)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54" t="s">
        <v>17</v>
      </c>
      <c r="E310" s="555"/>
      <c r="F310" s="555"/>
      <c r="G310" s="55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52" t="s">
        <v>20</v>
      </c>
      <c r="E313" s="553"/>
      <c r="F313" s="55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537">
        <f ca="1">IFERROR(__xludf.DUMMYFUNCTION("IMPORTRANGE(""https://docs.google.com/spreadsheets/d/1Yj_ptqi66GCucihVvJfMjLAmec39IyEx_6qawtMGysU/edit?usp=sharing"",""สบก!DC53"")"),0)</f>
        <v>0</v>
      </c>
      <c r="N314" s="538">
        <f ca="1">IFERROR(__xludf.DUMMYFUNCTION("IMPORTRANGE(""https://docs.google.com/spreadsheets/d/1Yj_ptqi66GCucihVvJfMjLAmec39IyEx_6qawtMGysU/edit?usp=sharing"",""สบก!DD53"")"),0)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537">
        <f ca="1">IFERROR(__xludf.DUMMYFUNCTION("IMPORTRANGE(""https://docs.google.com/spreadsheets/d/1Yj_ptqi66GCucihVvJfMjLAmec39IyEx_6qawtMGysU/edit?usp=sharing"",""สบก!CY53"")"),0)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537">
        <f ca="1">IFERROR(__xludf.DUMMYFUNCTION("IMPORTRANGE(""https://docs.google.com/spreadsheets/d/1Yj_ptqi66GCucihVvJfMjLAmec39IyEx_6qawtMGysU/edit?usp=sharing"",""สบก!CZ53"")"),0)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52" t="s">
        <v>23</v>
      </c>
      <c r="E317" s="553"/>
      <c r="F317" s="89"/>
      <c r="G317" s="82" t="s">
        <v>18</v>
      </c>
      <c r="H317" s="172" t="s">
        <v>12</v>
      </c>
      <c r="I317" s="162"/>
      <c r="J317" s="188"/>
      <c r="K317" s="224"/>
      <c r="L317" s="535">
        <v>0</v>
      </c>
      <c r="M317" s="535"/>
      <c r="N317" s="41"/>
      <c r="O317" s="535"/>
      <c r="P317" s="535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533">
        <f ca="1">IFERROR(__xludf.DUMMYFUNCTION("IMPORTRANGE(""https://docs.google.com/spreadsheets/d/1Yj_ptqi66GCucihVvJfMjLAmec39IyEx_6qawtMGysU/edit?usp=sharing"",""สบก!DA53"")"),0)</f>
        <v>0</v>
      </c>
      <c r="M318" s="536"/>
      <c r="N318" s="533">
        <f ca="1">IFERROR(__xludf.DUMMYFUNCTION("IMPORTRANGE(""https://docs.google.com/spreadsheets/d/1Yj_ptqi66GCucihVvJfMjLAmec39IyEx_6qawtMGysU/edit?usp=sharing"",""สบก!DE53"")"),0)</f>
        <v>0</v>
      </c>
      <c r="O318" s="536">
        <f ca="1">IF(L318&gt;0,N318*100/L318,0)</f>
        <v>0</v>
      </c>
      <c r="P318" s="536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IFERROR(__xludf.DUMMYFUNCTION("IMPORTRANGE(""https://docs.google.com/spreadsheets/d/1XL5vhW3sbDhbH9Cz0tuDiY8C3ctxq1tqvaCgkFb8cCA/edit?usp=sharing"",""หนองคาย!J220"")"),0)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IFERROR(__xludf.DUMMYFUNCTION("IMPORTRANGE(""https://docs.google.com/spreadsheets/d/1XL5vhW3sbDhbH9Cz0tuDiY8C3ctxq1tqvaCgkFb8cCA/edit?usp=sharing"",""หนองคาย!J221"")"),0)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IFERROR(__xludf.DUMMYFUNCTION("IMPORTRANGE(""https://docs.google.com/spreadsheets/d/1XL5vhW3sbDhbH9Cz0tuDiY8C3ctxq1tqvaCgkFb8cCA/edit?usp=sharing"",""หนองคาย!J222"")"),0)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IFERROR(__xludf.DUMMYFUNCTION("IMPORTRANGE(""https://docs.google.com/spreadsheets/d/1XL5vhW3sbDhbH9Cz0tuDiY8C3ctxq1tqvaCgkFb8cCA/edit?usp=sharing"",""หนองคาย!J223"")"),0)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IFERROR(__xludf.DUMMYFUNCTION("IMPORTRANGE(""https://docs.google.com/spreadsheets/d/1XL5vhW3sbDhbH9Cz0tuDiY8C3ctxq1tqvaCgkFb8cCA/edit?usp=sharing"",""หนองคาย!I224"")"),0)</f>
        <v>0</v>
      </c>
      <c r="J324" s="204">
        <f ca="1">IFERROR(__xludf.DUMMYFUNCTION("IMPORTRANGE(""https://docs.google.com/spreadsheets/d/1XL5vhW3sbDhbH9Cz0tuDiY8C3ctxq1tqvaCgkFb8cCA/edit?usp=sharing"",""หนองคาย!J224"")"),0)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IFERROR(__xludf.DUMMYFUNCTION("IMPORTRANGE(""https://docs.google.com/spreadsheets/d/1XL5vhW3sbDhbH9Cz0tuDiY8C3ctxq1tqvaCgkFb8cCA/edit?usp=sharing"",""หนองคาย!J225"")"),0)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IFERROR(__xludf.DUMMYFUNCTION("IMPORTRANGE(""https://docs.google.com/spreadsheets/d/1XL5vhW3sbDhbH9Cz0tuDiY8C3ctxq1tqvaCgkFb8cCA/edit?usp=sharing"",""หนองคาย!J226"")"),0)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IFERROR(__xludf.DUMMYFUNCTION("IMPORTRANGE(""https://docs.google.com/spreadsheets/d/1XL5vhW3sbDhbH9Cz0tuDiY8C3ctxq1tqvaCgkFb8cCA/edit?usp=sharing"",""หนองคาย!I228"")"),650)</f>
        <v>650</v>
      </c>
      <c r="J328" s="339">
        <f ca="1">IFERROR(__xludf.DUMMYFUNCTION("IMPORTRANGE(""https://docs.google.com/spreadsheets/d/1XL5vhW3sbDhbH9Cz0tuDiY8C3ctxq1tqvaCgkFb8cCA/edit?usp=sharing"",""หนองคาย!J228"")"),45)</f>
        <v>45</v>
      </c>
      <c r="K328" s="317">
        <f ca="1">IF(I328&gt;0,J328*100/I328,0)</f>
        <v>6.9230769230769234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54" t="s">
        <v>17</v>
      </c>
      <c r="E329" s="555"/>
      <c r="F329" s="555"/>
      <c r="G329" s="555"/>
      <c r="H329" s="149" t="s">
        <v>12</v>
      </c>
      <c r="I329" s="162"/>
      <c r="J329" s="162"/>
      <c r="K329" s="163"/>
      <c r="L329" s="152">
        <f t="shared" ref="L329:N329" ca="1" si="98">L330+L331</f>
        <v>1197130</v>
      </c>
      <c r="M329" s="152">
        <f t="shared" ca="1" si="98"/>
        <v>895230</v>
      </c>
      <c r="N329" s="152">
        <f t="shared" ca="1" si="98"/>
        <v>667992.29</v>
      </c>
      <c r="O329" s="151">
        <f t="shared" ref="O329:O331" ca="1" si="99">IF(L329&gt;0,N329*100/L329,0)</f>
        <v>55.7994779180206</v>
      </c>
      <c r="P329" s="151">
        <f t="shared" ref="P329:P331" ca="1" si="100">IF(M329&gt;0,N329*100/M329,0)</f>
        <v>74.616834779888961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1197130</v>
      </c>
      <c r="M331" s="157">
        <f t="shared" ca="1" si="102"/>
        <v>895230</v>
      </c>
      <c r="N331" s="157">
        <f t="shared" ca="1" si="102"/>
        <v>667992.29</v>
      </c>
      <c r="O331" s="156">
        <f t="shared" ca="1" si="99"/>
        <v>55.7994779180206</v>
      </c>
      <c r="P331" s="156">
        <f t="shared" ca="1" si="100"/>
        <v>74.616834779888961</v>
      </c>
    </row>
    <row r="332" spans="1:16" ht="21.75" customHeight="1" x14ac:dyDescent="0.45">
      <c r="A332" s="158"/>
      <c r="B332" s="159"/>
      <c r="C332" s="159" t="s">
        <v>16</v>
      </c>
      <c r="D332" s="552" t="s">
        <v>20</v>
      </c>
      <c r="E332" s="553"/>
      <c r="F332" s="55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1011130</v>
      </c>
      <c r="M333" s="537">
        <f ca="1">IFERROR(__xludf.DUMMYFUNCTION("IMPORTRANGE(""https://docs.google.com/spreadsheets/d/1Yj_ptqi66GCucihVvJfMjLAmec39IyEx_6qawtMGysU/edit?usp=sharing"",""สบก!DL53"")"),709230)</f>
        <v>709230</v>
      </c>
      <c r="N333" s="538">
        <f ca="1">IFERROR(__xludf.DUMMYFUNCTION("IMPORTRANGE(""https://docs.google.com/spreadsheets/d/1Yj_ptqi66GCucihVvJfMjLAmec39IyEx_6qawtMGysU/edit?usp=sharing"",""สบก!DM53"")"),481992.29)</f>
        <v>481992.29</v>
      </c>
      <c r="O333" s="169">
        <f ca="1">IF(L333&gt;0,N333*100/L333,0)</f>
        <v>47.668676629117918</v>
      </c>
      <c r="P333" s="169">
        <f ca="1">IF(M333&gt;0,N333*100/M333,0)</f>
        <v>67.959941062842802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537">
        <f ca="1">IFERROR(__xludf.DUMMYFUNCTION("IMPORTRANGE(""https://docs.google.com/spreadsheets/d/1Yj_ptqi66GCucihVvJfMjLAmec39IyEx_6qawtMGysU/edit?usp=sharing"",""สบก!DH53"")"),417600)</f>
        <v>417600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537">
        <f ca="1">IFERROR(__xludf.DUMMYFUNCTION("IMPORTRANGE(""https://docs.google.com/spreadsheets/d/1Yj_ptqi66GCucihVvJfMjLAmec39IyEx_6qawtMGysU/edit?usp=sharing"",""สบก!DI53"")"),593530)</f>
        <v>593530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52" t="s">
        <v>23</v>
      </c>
      <c r="E336" s="553"/>
      <c r="F336" s="89"/>
      <c r="G336" s="82" t="s">
        <v>18</v>
      </c>
      <c r="H336" s="172" t="s">
        <v>12</v>
      </c>
      <c r="I336" s="162"/>
      <c r="J336" s="162"/>
      <c r="K336" s="163"/>
      <c r="L336" s="535">
        <v>0</v>
      </c>
      <c r="M336" s="535"/>
      <c r="N336" s="41"/>
      <c r="O336" s="535"/>
      <c r="P336" s="535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533">
        <f ca="1">IFERROR(__xludf.DUMMYFUNCTION("IMPORTRANGE(""https://docs.google.com/spreadsheets/d/1Yj_ptqi66GCucihVvJfMjLAmec39IyEx_6qawtMGysU/edit?usp=sharing"",""สบก!DJ53"")"),186000)</f>
        <v>186000</v>
      </c>
      <c r="M337" s="536">
        <f ca="1">L337</f>
        <v>186000</v>
      </c>
      <c r="N337" s="533">
        <f ca="1">IFERROR(__xludf.DUMMYFUNCTION("IMPORTRANGE(""https://docs.google.com/spreadsheets/d/1Yj_ptqi66GCucihVvJfMjLAmec39IyEx_6qawtMGysU/edit?usp=sharing"",""สบก!DN53"")"),186000)</f>
        <v>186000</v>
      </c>
      <c r="O337" s="536">
        <f ca="1">IF(L337&gt;0,N337*100/L337,0)</f>
        <v>100</v>
      </c>
      <c r="P337" s="536">
        <f ca="1">IF(M337&gt;0,N337*100/M337,0)</f>
        <v>100</v>
      </c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IFERROR(__xludf.DUMMYFUNCTION("IMPORTRANGE(""https://docs.google.com/spreadsheets/d/1XL5vhW3sbDhbH9Cz0tuDiY8C3ctxq1tqvaCgkFb8cCA/edit?usp=sharing"",""หนองคาย!I234"")"),0)</f>
        <v>0</v>
      </c>
      <c r="J339" s="188">
        <f ca="1">IFERROR(__xludf.DUMMYFUNCTION("IMPORTRANGE(""https://docs.google.com/spreadsheets/d/1XL5vhW3sbDhbH9Cz0tuDiY8C3ctxq1tqvaCgkFb8cCA/edit?usp=sharing"",""หนองคาย!J234"")"),110)</f>
        <v>110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IFERROR(__xludf.DUMMYFUNCTION("IMPORTRANGE(""https://docs.google.com/spreadsheets/d/1XL5vhW3sbDhbH9Cz0tuDiY8C3ctxq1tqvaCgkFb8cCA/edit?usp=sharing"",""หนองคาย!I235"")"),3376)</f>
        <v>3376</v>
      </c>
      <c r="J340" s="188">
        <f ca="1">IFERROR(__xludf.DUMMYFUNCTION("IMPORTRANGE(""https://docs.google.com/spreadsheets/d/1XL5vhW3sbDhbH9Cz0tuDiY8C3ctxq1tqvaCgkFb8cCA/edit?usp=sharing"",""หนองคาย!J235"")"),1015.06999999999)</f>
        <v>1015.06999999999</v>
      </c>
      <c r="K340" s="342">
        <f t="shared" ca="1" si="103"/>
        <v>30.067239336492598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IFERROR(__xludf.DUMMYFUNCTION("IMPORTRANGE(""https://docs.google.com/spreadsheets/d/1XL5vhW3sbDhbH9Cz0tuDiY8C3ctxq1tqvaCgkFb8cCA/edit?usp=sharing"",""หนองคาย!I236"")"),650)</f>
        <v>650</v>
      </c>
      <c r="J341" s="188">
        <f ca="1">IFERROR(__xludf.DUMMYFUNCTION("IMPORTRANGE(""https://docs.google.com/spreadsheets/d/1XL5vhW3sbDhbH9Cz0tuDiY8C3ctxq1tqvaCgkFb8cCA/edit?usp=sharing"",""หนองคาย!J236"")"),233)</f>
        <v>233</v>
      </c>
      <c r="K341" s="342">
        <f t="shared" ca="1" si="103"/>
        <v>35.846153846153847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IFERROR(__xludf.DUMMYFUNCTION("IMPORTRANGE(""https://docs.google.com/spreadsheets/d/1XL5vhW3sbDhbH9Cz0tuDiY8C3ctxq1tqvaCgkFb8cCA/edit?usp=sharing"",""หนองคาย!I237"")"),0)</f>
        <v>0</v>
      </c>
      <c r="J342" s="188">
        <f ca="1">IFERROR(__xludf.DUMMYFUNCTION("IMPORTRANGE(""https://docs.google.com/spreadsheets/d/1XL5vhW3sbDhbH9Cz0tuDiY8C3ctxq1tqvaCgkFb8cCA/edit?usp=sharing"",""หนองคาย!J237"")"),2858.68)</f>
        <v>2858.68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IFERROR(__xludf.DUMMYFUNCTION("IMPORTRANGE(""https://docs.google.com/spreadsheets/d/1XL5vhW3sbDhbH9Cz0tuDiY8C3ctxq1tqvaCgkFb8cCA/edit?usp=sharing"",""หนองคาย!I238"")"),650)</f>
        <v>650</v>
      </c>
      <c r="J343" s="188">
        <f ca="1">IFERROR(__xludf.DUMMYFUNCTION("IMPORTRANGE(""https://docs.google.com/spreadsheets/d/1XL5vhW3sbDhbH9Cz0tuDiY8C3ctxq1tqvaCgkFb8cCA/edit?usp=sharing"",""หนองคาย!J238"")"),0)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IFERROR(__xludf.DUMMYFUNCTION("IMPORTRANGE(""https://docs.google.com/spreadsheets/d/1XL5vhW3sbDhbH9Cz0tuDiY8C3ctxq1tqvaCgkFb8cCA/edit?usp=sharing"",""หนองคาย!I239"")"),0)</f>
        <v>0</v>
      </c>
      <c r="J344" s="188">
        <f ca="1">IFERROR(__xludf.DUMMYFUNCTION("IMPORTRANGE(""https://docs.google.com/spreadsheets/d/1XL5vhW3sbDhbH9Cz0tuDiY8C3ctxq1tqvaCgkFb8cCA/edit?usp=sharing"",""หนองคาย!J239"")"),0)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IFERROR(__xludf.DUMMYFUNCTION("IMPORTRANGE(""https://docs.google.com/spreadsheets/d/1XL5vhW3sbDhbH9Cz0tuDiY8C3ctxq1tqvaCgkFb8cCA/edit?usp=sharing"",""หนองคาย!I240"")"),650)</f>
        <v>650</v>
      </c>
      <c r="J345" s="188">
        <f ca="1">IFERROR(__xludf.DUMMYFUNCTION("IMPORTRANGE(""https://docs.google.com/spreadsheets/d/1XL5vhW3sbDhbH9Cz0tuDiY8C3ctxq1tqvaCgkFb8cCA/edit?usp=sharing"",""หนองคาย!J240"")"),45)</f>
        <v>45</v>
      </c>
      <c r="K345" s="342">
        <f t="shared" ca="1" si="103"/>
        <v>6.9230769230769234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IFERROR(__xludf.DUMMYFUNCTION("IMPORTRANGE(""https://docs.google.com/spreadsheets/d/1XL5vhW3sbDhbH9Cz0tuDiY8C3ctxq1tqvaCgkFb8cCA/edit?usp=sharing"",""หนองคาย!I241"")"),0)</f>
        <v>0</v>
      </c>
      <c r="J346" s="188">
        <f ca="1">IFERROR(__xludf.DUMMYFUNCTION("IMPORTRANGE(""https://docs.google.com/spreadsheets/d/1XL5vhW3sbDhbH9Cz0tuDiY8C3ctxq1tqvaCgkFb8cCA/edit?usp=sharing"",""หนองคาย!J241"")"),645.83)</f>
        <v>645.83000000000004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IFERROR(__xludf.DUMMYFUNCTION("IMPORTRANGE(""https://docs.google.com/spreadsheets/d/1XL5vhW3sbDhbH9Cz0tuDiY8C3ctxq1tqvaCgkFb8cCA/edit?usp=sharing"",""หนองคาย!L242"")"),2542856)</f>
        <v>2542856</v>
      </c>
      <c r="M347" s="358"/>
      <c r="N347" s="358">
        <f ca="1">IFERROR(__xludf.DUMMYFUNCTION("IMPORTRANGE(""https://docs.google.com/spreadsheets/d/1XL5vhW3sbDhbH9Cz0tuDiY8C3ctxq1tqvaCgkFb8cCA/edit?usp=sharing"",""หนองคาย!M242"")"),879627.16)</f>
        <v>879627.16</v>
      </c>
      <c r="O347" s="358">
        <f ca="1">+IF(L347&gt;0,N347*100/L347,0)</f>
        <v>34.592094872851625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IFERROR(__xludf.DUMMYFUNCTION("IMPORTRANGE(""https://docs.google.com/spreadsheets/d/1XL5vhW3sbDhbH9Cz0tuDiY8C3ctxq1tqvaCgkFb8cCA/edit?usp=sharing"",""หนองคาย!I244"")"),400)</f>
        <v>400</v>
      </c>
      <c r="J349" s="371">
        <f ca="1">IFERROR(__xludf.DUMMYFUNCTION("IMPORTRANGE(""https://docs.google.com/spreadsheets/d/1XL5vhW3sbDhbH9Cz0tuDiY8C3ctxq1tqvaCgkFb8cCA/edit?usp=sharing"",""หนองคาย!J244"")"),80)</f>
        <v>80</v>
      </c>
      <c r="K349" s="372">
        <f t="shared" ref="K349:K350" ca="1" si="104">IF(I349&gt;0,J349*100/I349,0)</f>
        <v>20</v>
      </c>
      <c r="L349" s="373">
        <f ca="1">IFERROR(__xludf.DUMMYFUNCTION("IMPORTRANGE(""https://docs.google.com/spreadsheets/d/1XL5vhW3sbDhbH9Cz0tuDiY8C3ctxq1tqvaCgkFb8cCA/edit?usp=sharing"",""หนองคาย!L244"")"),635180)</f>
        <v>635180</v>
      </c>
      <c r="M349" s="373"/>
      <c r="N349" s="373">
        <f ca="1">IFERROR(__xludf.DUMMYFUNCTION("IMPORTRANGE(""https://docs.google.com/spreadsheets/d/1XL5vhW3sbDhbH9Cz0tuDiY8C3ctxq1tqvaCgkFb8cCA/edit?usp=sharing"",""หนองคาย!M244"")"),235876.86)</f>
        <v>235876.86</v>
      </c>
      <c r="O349" s="373">
        <f ca="1">+IF(L349&gt;0,N349*100/L349,0)</f>
        <v>37.13543562454737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IFERROR(__xludf.DUMMYFUNCTION("IMPORTRANGE(""https://docs.google.com/spreadsheets/d/1XL5vhW3sbDhbH9Cz0tuDiY8C3ctxq1tqvaCgkFb8cCA/edit?usp=sharing"",""หนองคาย!I245"")"),90)</f>
        <v>90</v>
      </c>
      <c r="J350" s="371">
        <f ca="1">IFERROR(__xludf.DUMMYFUNCTION("IMPORTRANGE(""https://docs.google.com/spreadsheets/d/1XL5vhW3sbDhbH9Cz0tuDiY8C3ctxq1tqvaCgkFb8cCA/edit?usp=sharing"",""หนองคาย!J245"")"),90)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IFERROR(__xludf.DUMMYFUNCTION("IMPORTRANGE(""https://docs.google.com/spreadsheets/d/1XL5vhW3sbDhbH9Cz0tuDiY8C3ctxq1tqvaCgkFb8cCA/edit?usp=sharing"",""หนองคาย!L246"")"),0)</f>
        <v>0</v>
      </c>
      <c r="M351" s="164"/>
      <c r="N351" s="164">
        <f ca="1">IFERROR(__xludf.DUMMYFUNCTION("IMPORTRANGE(""https://docs.google.com/spreadsheets/d/1XL5vhW3sbDhbH9Cz0tuDiY8C3ctxq1tqvaCgkFb8cCA/edit?usp=sharing"",""หนองคาย!M246"")"),0)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IFERROR(__xludf.DUMMYFUNCTION("IMPORTRANGE(""https://docs.google.com/spreadsheets/d/1XL5vhW3sbDhbH9Cz0tuDiY8C3ctxq1tqvaCgkFb8cCA/edit?usp=sharing"",""หนองคาย!L247"")"),635180)</f>
        <v>635180</v>
      </c>
      <c r="M352" s="165"/>
      <c r="N352" s="164">
        <f ca="1">IFERROR(__xludf.DUMMYFUNCTION("IMPORTRANGE(""https://docs.google.com/spreadsheets/d/1XL5vhW3sbDhbH9Cz0tuDiY8C3ctxq1tqvaCgkFb8cCA/edit?usp=sharing"",""หนองคาย!M247"")"),235876.86)</f>
        <v>235876.86</v>
      </c>
      <c r="O352" s="165">
        <f t="shared" ca="1" si="105"/>
        <v>37.13543562454737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IFERROR(__xludf.DUMMYFUNCTION("IMPORTRANGE(""https://docs.google.com/spreadsheets/d/1XL5vhW3sbDhbH9Cz0tuDiY8C3ctxq1tqvaCgkFb8cCA/edit?usp=sharing"",""หนองคาย!L248"")"),0)</f>
        <v>0</v>
      </c>
      <c r="M353" s="169"/>
      <c r="N353" s="169">
        <f ca="1">IFERROR(__xludf.DUMMYFUNCTION("IMPORTRANGE(""https://docs.google.com/spreadsheets/d/1XL5vhW3sbDhbH9Cz0tuDiY8C3ctxq1tqvaCgkFb8cCA/edit?usp=sharing"",""หนองคาย!M248"")"),0)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IFERROR(__xludf.DUMMYFUNCTION("IMPORTRANGE(""https://docs.google.com/spreadsheets/d/1XL5vhW3sbDhbH9Cz0tuDiY8C3ctxq1tqvaCgkFb8cCA/edit?usp=sharing"",""หนองคาย!L249"")"),635180)</f>
        <v>635180</v>
      </c>
      <c r="M354" s="169"/>
      <c r="N354" s="168">
        <f ca="1">IFERROR(__xludf.DUMMYFUNCTION("IMPORTRANGE(""https://docs.google.com/spreadsheets/d/1XL5vhW3sbDhbH9Cz0tuDiY8C3ctxq1tqvaCgkFb8cCA/edit?usp=sharing"",""หนองคาย!M249"")"),235876.86)</f>
        <v>235876.86</v>
      </c>
      <c r="O354" s="169">
        <f t="shared" ca="1" si="105"/>
        <v>37.13543562454737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IFERROR(__xludf.DUMMYFUNCTION("IMPORTRANGE(""https://docs.google.com/spreadsheets/d/1XL5vhW3sbDhbH9Cz0tuDiY8C3ctxq1tqvaCgkFb8cCA/edit?usp=sharing"",""หนองคาย!M250"")"),105820)</f>
        <v>105820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IFERROR(__xludf.DUMMYFUNCTION("IMPORTRANGE(""https://docs.google.com/spreadsheets/d/1XL5vhW3sbDhbH9Cz0tuDiY8C3ctxq1tqvaCgkFb8cCA/edit?usp=sharing"",""หนองคาย!M251"")"),46600)</f>
        <v>46600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IFERROR(__xludf.DUMMYFUNCTION("IMPORTRANGE(""https://docs.google.com/spreadsheets/d/1XL5vhW3sbDhbH9Cz0tuDiY8C3ctxq1tqvaCgkFb8cCA/edit?usp=sharing"",""หนองคาย!M252"")"),60665.65)</f>
        <v>60665.65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IFERROR(__xludf.DUMMYFUNCTION("IMPORTRANGE(""https://docs.google.com/spreadsheets/d/1XL5vhW3sbDhbH9Cz0tuDiY8C3ctxq1tqvaCgkFb8cCA/edit?usp=sharing"",""หนองคาย!M253"")"),22791.21)</f>
        <v>22791.21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IFERROR(__xludf.DUMMYFUNCTION("IMPORTRANGE(""https://docs.google.com/spreadsheets/d/1XL5vhW3sbDhbH9Cz0tuDiY8C3ctxq1tqvaCgkFb8cCA/edit?usp=sharing"",""หนองคาย!J255"")"),0)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IFERROR(__xludf.DUMMYFUNCTION("IMPORTRANGE(""https://docs.google.com/spreadsheets/d/1XL5vhW3sbDhbH9Cz0tuDiY8C3ctxq1tqvaCgkFb8cCA/edit?usp=sharing"",""หนองคาย!J256"")"),1)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IFERROR(__xludf.DUMMYFUNCTION("IMPORTRANGE(""https://docs.google.com/spreadsheets/d/1XL5vhW3sbDhbH9Cz0tuDiY8C3ctxq1tqvaCgkFb8cCA/edit?usp=sharing"",""หนองคาย!J257"")"),1)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IFERROR(__xludf.DUMMYFUNCTION("IMPORTRANGE(""https://docs.google.com/spreadsheets/d/1XL5vhW3sbDhbH9Cz0tuDiY8C3ctxq1tqvaCgkFb8cCA/edit?usp=sharing"",""หนองคาย!J258"")"),1)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IFERROR(__xludf.DUMMYFUNCTION("IMPORTRANGE(""https://docs.google.com/spreadsheets/d/1XL5vhW3sbDhbH9Cz0tuDiY8C3ctxq1tqvaCgkFb8cCA/edit?usp=sharing"",""หนองคาย!J166"")"),0)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IFERROR(__xludf.DUMMYFUNCTION("IMPORTRANGE(""https://docs.google.com/spreadsheets/d/1XL5vhW3sbDhbH9Cz0tuDiY8C3ctxq1tqvaCgkFb8cCA/edit?usp=sharing"",""หนองคาย!J166"")"),0)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IFERROR(__xludf.DUMMYFUNCTION("IMPORTRANGE(""https://docs.google.com/spreadsheets/d/1XL5vhW3sbDhbH9Cz0tuDiY8C3ctxq1tqvaCgkFb8cCA/edit?usp=sharing"",""หนองคาย!J166"")"),0)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IFERROR(__xludf.DUMMYFUNCTION("IMPORTRANGE(""https://docs.google.com/spreadsheets/d/1XL5vhW3sbDhbH9Cz0tuDiY8C3ctxq1tqvaCgkFb8cCA/edit?usp=sharing"",""หนองคาย!J166"")"),0)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IFERROR(__xludf.DUMMYFUNCTION("IMPORTRANGE(""https://docs.google.com/spreadsheets/d/1XL5vhW3sbDhbH9Cz0tuDiY8C3ctxq1tqvaCgkFb8cCA/edit?usp=sharing"",""หนองคาย!I263"")"),90)</f>
        <v>90</v>
      </c>
      <c r="J368" s="188">
        <f ca="1">IFERROR(__xludf.DUMMYFUNCTION("IMPORTRANGE(""https://docs.google.com/spreadsheets/d/1XL5vhW3sbDhbH9Cz0tuDiY8C3ctxq1tqvaCgkFb8cCA/edit?usp=sharing"",""หนองคาย!J263"")"),90)</f>
        <v>90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IFERROR(__xludf.DUMMYFUNCTION("IMPORTRANGE(""https://docs.google.com/spreadsheets/d/1XL5vhW3sbDhbH9Cz0tuDiY8C3ctxq1tqvaCgkFb8cCA/edit?usp=sharing"",""หนองคาย!I164"")"),0)</f>
        <v>0</v>
      </c>
      <c r="J369" s="204">
        <f ca="1">IFERROR(__xludf.DUMMYFUNCTION("IMPORTRANGE(""https://docs.google.com/spreadsheets/d/1XL5vhW3sbDhbH9Cz0tuDiY8C3ctxq1tqvaCgkFb8cCA/edit?usp=sharing"",""หนองคาย!J164"")"),0)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293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IFERROR(__xludf.DUMMYFUNCTION("IMPORTRANGE(""https://docs.google.com/spreadsheets/d/1XL5vhW3sbDhbH9Cz0tuDiY8C3ctxq1tqvaCgkFb8cCA/edit?usp=sharing"",""หนองคาย!I265"")"),90)</f>
        <v>90</v>
      </c>
      <c r="J370" s="204">
        <f ca="1">IFERROR(__xludf.DUMMYFUNCTION("IMPORTRANGE(""https://docs.google.com/spreadsheets/d/1XL5vhW3sbDhbH9Cz0tuDiY8C3ctxq1tqvaCgkFb8cCA/edit?usp=sharing"",""หนองคาย!J265"")"),90)</f>
        <v>90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IFERROR(__xludf.DUMMYFUNCTION("IMPORTRANGE(""https://docs.google.com/spreadsheets/d/1XL5vhW3sbDhbH9Cz0tuDiY8C3ctxq1tqvaCgkFb8cCA/edit?usp=sharing"",""หนองคาย!I164"")"),0)</f>
        <v>0</v>
      </c>
      <c r="J371" s="189">
        <f ca="1">IFERROR(__xludf.DUMMYFUNCTION("IMPORTRANGE(""https://docs.google.com/spreadsheets/d/1XL5vhW3sbDhbH9Cz0tuDiY8C3ctxq1tqvaCgkFb8cCA/edit?usp=sharing"",""หนองคาย!J164"")"),0)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293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IFERROR(__xludf.DUMMYFUNCTION("IMPORTRANGE(""https://docs.google.com/spreadsheets/d/1XL5vhW3sbDhbH9Cz0tuDiY8C3ctxq1tqvaCgkFb8cCA/edit?usp=sharing"",""หนองคาย!I267"")"),90)</f>
        <v>90</v>
      </c>
      <c r="J372" s="189">
        <f ca="1">IFERROR(__xludf.DUMMYFUNCTION("IMPORTRANGE(""https://docs.google.com/spreadsheets/d/1XL5vhW3sbDhbH9Cz0tuDiY8C3ctxq1tqvaCgkFb8cCA/edit?usp=sharing"",""หนองคาย!J267"")"),90)</f>
        <v>90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IFERROR(__xludf.DUMMYFUNCTION("IMPORTRANGE(""https://docs.google.com/spreadsheets/d/1XL5vhW3sbDhbH9Cz0tuDiY8C3ctxq1tqvaCgkFb8cCA/edit?usp=sharing"",""หนองคาย!I164"")"),0)</f>
        <v>0</v>
      </c>
      <c r="J373" s="204">
        <f ca="1">IFERROR(__xludf.DUMMYFUNCTION("IMPORTRANGE(""https://docs.google.com/spreadsheets/d/1XL5vhW3sbDhbH9Cz0tuDiY8C3ctxq1tqvaCgkFb8cCA/edit?usp=sharing"",""หนองคาย!J164"")"),0)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IFERROR(__xludf.DUMMYFUNCTION("IMPORTRANGE(""https://docs.google.com/spreadsheets/d/1XL5vhW3sbDhbH9Cz0tuDiY8C3ctxq1tqvaCgkFb8cCA/edit?usp=sharing"",""หนองคาย!I164"")"),0)</f>
        <v>0</v>
      </c>
      <c r="J374" s="188">
        <f ca="1">IFERROR(__xludf.DUMMYFUNCTION("IMPORTRANGE(""https://docs.google.com/spreadsheets/d/1XL5vhW3sbDhbH9Cz0tuDiY8C3ctxq1tqvaCgkFb8cCA/edit?usp=sharing"",""หนองคาย!J164"")"),0)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IFERROR(__xludf.DUMMYFUNCTION("IMPORTRANGE(""https://docs.google.com/spreadsheets/d/1XL5vhW3sbDhbH9Cz0tuDiY8C3ctxq1tqvaCgkFb8cCA/edit?usp=sharing"",""หนองคาย!I270"")"),400)</f>
        <v>400</v>
      </c>
      <c r="J375" s="188">
        <f ca="1">IFERROR(__xludf.DUMMYFUNCTION("IMPORTRANGE(""https://docs.google.com/spreadsheets/d/1XL5vhW3sbDhbH9Cz0tuDiY8C3ctxq1tqvaCgkFb8cCA/edit?usp=sharing"",""หนองคาย!J270"")"),80)</f>
        <v>80</v>
      </c>
      <c r="K375" s="163">
        <f t="shared" ref="K375:K377" ca="1" si="107">IF(I375&gt;0,J375*100/I375,0)</f>
        <v>20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IFERROR(__xludf.DUMMYFUNCTION("IMPORTRANGE(""https://docs.google.com/spreadsheets/d/1XL5vhW3sbDhbH9Cz0tuDiY8C3ctxq1tqvaCgkFb8cCA/edit?usp=sharing"",""หนองคาย!I271"")"),100)</f>
        <v>100</v>
      </c>
      <c r="J376" s="189">
        <f ca="1">IFERROR(__xludf.DUMMYFUNCTION("IMPORTRANGE(""https://docs.google.com/spreadsheets/d/1XL5vhW3sbDhbH9Cz0tuDiY8C3ctxq1tqvaCgkFb8cCA/edit?usp=sharing"",""หนองคาย!J271"")"),80)</f>
        <v>80</v>
      </c>
      <c r="K376" s="163">
        <f t="shared" ca="1" si="107"/>
        <v>80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IFERROR(__xludf.DUMMYFUNCTION("IMPORTRANGE(""https://docs.google.com/spreadsheets/d/1XL5vhW3sbDhbH9Cz0tuDiY8C3ctxq1tqvaCgkFb8cCA/edit?usp=sharing"",""หนองคาย!I272"")"),300)</f>
        <v>300</v>
      </c>
      <c r="J377" s="204">
        <f ca="1">IFERROR(__xludf.DUMMYFUNCTION("IMPORTRANGE(""https://docs.google.com/spreadsheets/d/1XL5vhW3sbDhbH9Cz0tuDiY8C3ctxq1tqvaCgkFb8cCA/edit?usp=sharing"",""หนองคาย!J272"")"),0)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IFERROR(__xludf.DUMMYFUNCTION("IMPORTRANGE(""https://docs.google.com/spreadsheets/d/1XL5vhW3sbDhbH9Cz0tuDiY8C3ctxq1tqvaCgkFb8cCA/edit?usp=sharing"",""หนองคาย!J273"")"),0)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IFERROR(__xludf.DUMMYFUNCTION("IMPORTRANGE(""https://docs.google.com/spreadsheets/d/1XL5vhW3sbDhbH9Cz0tuDiY8C3ctxq1tqvaCgkFb8cCA/edit?usp=sharing"",""หนองคาย!J274"")"),0)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IFERROR(__xludf.DUMMYFUNCTION("IMPORTRANGE(""https://docs.google.com/spreadsheets/d/1XL5vhW3sbDhbH9Cz0tuDiY8C3ctxq1tqvaCgkFb8cCA/edit?usp=sharing"",""หนองคาย!I275"")"),500)</f>
        <v>500</v>
      </c>
      <c r="J380" s="371">
        <f ca="1">IFERROR(__xludf.DUMMYFUNCTION("IMPORTRANGE(""https://docs.google.com/spreadsheets/d/1XL5vhW3sbDhbH9Cz0tuDiY8C3ctxq1tqvaCgkFb8cCA/edit?usp=sharing"",""หนองคาย!J275"")"),0)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IFERROR(__xludf.DUMMYFUNCTION("IMPORTRANGE(""https://docs.google.com/spreadsheets/d/1XL5vhW3sbDhbH9Cz0tuDiY8C3ctxq1tqvaCgkFb8cCA/edit?usp=sharing"",""หนองคาย!L275"")"),460140)</f>
        <v>460140</v>
      </c>
      <c r="M380" s="373"/>
      <c r="N380" s="373">
        <f ca="1">IFERROR(__xludf.DUMMYFUNCTION("IMPORTRANGE(""https://docs.google.com/spreadsheets/d/1XL5vhW3sbDhbH9Cz0tuDiY8C3ctxq1tqvaCgkFb8cCA/edit?usp=sharing"",""หนองคาย!M275"")"),122261)</f>
        <v>122261</v>
      </c>
      <c r="O380" s="373">
        <f ca="1">+IF(L380&gt;0,N380*100/L380,0)</f>
        <v>26.570391619941756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IFERROR(__xludf.DUMMYFUNCTION("IMPORTRANGE(""https://docs.google.com/spreadsheets/d/1XL5vhW3sbDhbH9Cz0tuDiY8C3ctxq1tqvaCgkFb8cCA/edit?usp=sharing"",""หนองคาย!I276"")"),50)</f>
        <v>50</v>
      </c>
      <c r="J381" s="371">
        <f ca="1">IFERROR(__xludf.DUMMYFUNCTION("IMPORTRANGE(""https://docs.google.com/spreadsheets/d/1XL5vhW3sbDhbH9Cz0tuDiY8C3ctxq1tqvaCgkFb8cCA/edit?usp=sharing"",""หนองคาย!J276"")"),50)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IFERROR(__xludf.DUMMYFUNCTION("IMPORTRANGE(""https://docs.google.com/spreadsheets/d/1XL5vhW3sbDhbH9Cz0tuDiY8C3ctxq1tqvaCgkFb8cCA/edit?usp=sharing"",""หนองคาย!L277"")"),0)</f>
        <v>0</v>
      </c>
      <c r="M382" s="164"/>
      <c r="N382" s="164">
        <f ca="1">IFERROR(__xludf.DUMMYFUNCTION("IMPORTRANGE(""https://docs.google.com/spreadsheets/d/1XL5vhW3sbDhbH9Cz0tuDiY8C3ctxq1tqvaCgkFb8cCA/edit?usp=sharing"",""หนองคาย!M277"")"),0)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IFERROR(__xludf.DUMMYFUNCTION("IMPORTRANGE(""https://docs.google.com/spreadsheets/d/1XL5vhW3sbDhbH9Cz0tuDiY8C3ctxq1tqvaCgkFb8cCA/edit?usp=sharing"",""หนองคาย!L278"")"),460140)</f>
        <v>460140</v>
      </c>
      <c r="M383" s="165"/>
      <c r="N383" s="165">
        <f ca="1">IFERROR(__xludf.DUMMYFUNCTION("IMPORTRANGE(""https://docs.google.com/spreadsheets/d/1XL5vhW3sbDhbH9Cz0tuDiY8C3ctxq1tqvaCgkFb8cCA/edit?usp=sharing"",""หนองคาย!M278"")"),122261)</f>
        <v>122261</v>
      </c>
      <c r="O383" s="165">
        <f t="shared" ca="1" si="109"/>
        <v>26.570391619941756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IFERROR(__xludf.DUMMYFUNCTION("IMPORTRANGE(""https://docs.google.com/spreadsheets/d/1XL5vhW3sbDhbH9Cz0tuDiY8C3ctxq1tqvaCgkFb8cCA/edit?usp=sharing"",""หนองคาย!L279"")"),0)</f>
        <v>0</v>
      </c>
      <c r="M384" s="169"/>
      <c r="N384" s="169">
        <f ca="1">IFERROR(__xludf.DUMMYFUNCTION("IMPORTRANGE(""https://docs.google.com/spreadsheets/d/1XL5vhW3sbDhbH9Cz0tuDiY8C3ctxq1tqvaCgkFb8cCA/edit?usp=sharing"",""หนองคาย!M279"")"),0)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IFERROR(__xludf.DUMMYFUNCTION("IMPORTRANGE(""https://docs.google.com/spreadsheets/d/1XL5vhW3sbDhbH9Cz0tuDiY8C3ctxq1tqvaCgkFb8cCA/edit?usp=sharing"",""หนองคาย!L280"")"),460140)</f>
        <v>460140</v>
      </c>
      <c r="M385" s="169"/>
      <c r="N385" s="168">
        <f ca="1">IFERROR(__xludf.DUMMYFUNCTION("IMPORTRANGE(""https://docs.google.com/spreadsheets/d/1XL5vhW3sbDhbH9Cz0tuDiY8C3ctxq1tqvaCgkFb8cCA/edit?usp=sharing"",""หนองคาย!M280"")"),122261)</f>
        <v>122261</v>
      </c>
      <c r="O385" s="169">
        <f t="shared" ca="1" si="109"/>
        <v>26.570391619941756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IFERROR(__xludf.DUMMYFUNCTION("IMPORTRANGE(""https://docs.google.com/spreadsheets/d/1XL5vhW3sbDhbH9Cz0tuDiY8C3ctxq1tqvaCgkFb8cCA/edit?usp=sharing"",""หนองคาย!M281"")"),117021)</f>
        <v>117021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IFERROR(__xludf.DUMMYFUNCTION("IMPORTRANGE(""https://docs.google.com/spreadsheets/d/1XL5vhW3sbDhbH9Cz0tuDiY8C3ctxq1tqvaCgkFb8cCA/edit?usp=sharing"",""หนองคาย!M282"")"),0)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IFERROR(__xludf.DUMMYFUNCTION("IMPORTRANGE(""https://docs.google.com/spreadsheets/d/1XL5vhW3sbDhbH9Cz0tuDiY8C3ctxq1tqvaCgkFb8cCA/edit?usp=sharing"",""หนองคาย!M283"")"),0)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IFERROR(__xludf.DUMMYFUNCTION("IMPORTRANGE(""https://docs.google.com/spreadsheets/d/1XL5vhW3sbDhbH9Cz0tuDiY8C3ctxq1tqvaCgkFb8cCA/edit?usp=sharing"",""หนองคาย!M284"")"),5240)</f>
        <v>5240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IFERROR(__xludf.DUMMYFUNCTION("IMPORTRANGE(""https://docs.google.com/spreadsheets/d/1XL5vhW3sbDhbH9Cz0tuDiY8C3ctxq1tqvaCgkFb8cCA/edit?usp=sharing"",""หนองคาย!J286"")"),0)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IFERROR(__xludf.DUMMYFUNCTION("IMPORTRANGE(""https://docs.google.com/spreadsheets/d/1XL5vhW3sbDhbH9Cz0tuDiY8C3ctxq1tqvaCgkFb8cCA/edit?usp=sharing"",""หนองคาย!J287"")"),1)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IFERROR(__xludf.DUMMYFUNCTION("IMPORTRANGE(""https://docs.google.com/spreadsheets/d/1XL5vhW3sbDhbH9Cz0tuDiY8C3ctxq1tqvaCgkFb8cCA/edit?usp=sharing"",""หนองคาย!J288"")"),1)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IFERROR(__xludf.DUMMYFUNCTION("IMPORTRANGE(""https://docs.google.com/spreadsheets/d/1XL5vhW3sbDhbH9Cz0tuDiY8C3ctxq1tqvaCgkFb8cCA/edit?usp=sharing"",""หนองคาย!J289"")"),1)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IFERROR(__xludf.DUMMYFUNCTION("IMPORTRANGE(""https://docs.google.com/spreadsheets/d/1XL5vhW3sbDhbH9Cz0tuDiY8C3ctxq1tqvaCgkFb8cCA/edit?usp=sharing"",""หนองคาย!I291"")"),50)</f>
        <v>50</v>
      </c>
      <c r="J396" s="198">
        <f ca="1">IFERROR(__xludf.DUMMYFUNCTION("IMPORTRANGE(""https://docs.google.com/spreadsheets/d/1XL5vhW3sbDhbH9Cz0tuDiY8C3ctxq1tqvaCgkFb8cCA/edit?usp=sharing"",""หนองคาย!J291"")"),50)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IFERROR(__xludf.DUMMYFUNCTION("IMPORTRANGE(""https://docs.google.com/spreadsheets/d/1XL5vhW3sbDhbH9Cz0tuDiY8C3ctxq1tqvaCgkFb8cCA/edit?usp=sharing"",""หนองคาย!I292"")"),500)</f>
        <v>500</v>
      </c>
      <c r="J397" s="198">
        <f ca="1">IFERROR(__xludf.DUMMYFUNCTION("IMPORTRANGE(""https://docs.google.com/spreadsheets/d/1XL5vhW3sbDhbH9Cz0tuDiY8C3ctxq1tqvaCgkFb8cCA/edit?usp=sharing"",""หนองคาย!J292"")"),0)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IFERROR(__xludf.DUMMYFUNCTION("IMPORTRANGE(""https://docs.google.com/spreadsheets/d/1XL5vhW3sbDhbH9Cz0tuDiY8C3ctxq1tqvaCgkFb8cCA/edit?usp=sharing"",""หนองคาย!I293"")"),50)</f>
        <v>50</v>
      </c>
      <c r="J398" s="198">
        <f ca="1">IFERROR(__xludf.DUMMYFUNCTION("IMPORTRANGE(""https://docs.google.com/spreadsheets/d/1XL5vhW3sbDhbH9Cz0tuDiY8C3ctxq1tqvaCgkFb8cCA/edit?usp=sharing"",""หนองคาย!J293"")"),0)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IFERROR(__xludf.DUMMYFUNCTION("IMPORTRANGE(""https://docs.google.com/spreadsheets/d/1XL5vhW3sbDhbH9Cz0tuDiY8C3ctxq1tqvaCgkFb8cCA/edit?usp=sharing"",""หนองคาย!J294"")"),0)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IFERROR(__xludf.DUMMYFUNCTION("IMPORTRANGE(""https://docs.google.com/spreadsheets/d/1XL5vhW3sbDhbH9Cz0tuDiY8C3ctxq1tqvaCgkFb8cCA/edit?usp=sharing"",""หนองคาย!J295"")"),0)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IFERROR(__xludf.DUMMYFUNCTION("IMPORTRANGE(""https://docs.google.com/spreadsheets/d/1XL5vhW3sbDhbH9Cz0tuDiY8C3ctxq1tqvaCgkFb8cCA/edit?usp=sharing"",""หนองคาย!I296"")"),165)</f>
        <v>165</v>
      </c>
      <c r="J401" s="371">
        <f ca="1">IFERROR(__xludf.DUMMYFUNCTION("IMPORTRANGE(""https://docs.google.com/spreadsheets/d/1XL5vhW3sbDhbH9Cz0tuDiY8C3ctxq1tqvaCgkFb8cCA/edit?usp=sharing"",""หนองคาย!J296"")"),165)</f>
        <v>165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IFERROR(__xludf.DUMMYFUNCTION("IMPORTRANGE(""https://docs.google.com/spreadsheets/d/1XL5vhW3sbDhbH9Cz0tuDiY8C3ctxq1tqvaCgkFb8cCA/edit?usp=sharing"",""หนองคาย!L296"")"),193290)</f>
        <v>193290</v>
      </c>
      <c r="M401" s="373"/>
      <c r="N401" s="373">
        <f ca="1">IFERROR(__xludf.DUMMYFUNCTION("IMPORTRANGE(""https://docs.google.com/spreadsheets/d/1XL5vhW3sbDhbH9Cz0tuDiY8C3ctxq1tqvaCgkFb8cCA/edit?usp=sharing"",""หนองคาย!M296"")"),128077.95)</f>
        <v>128077.95</v>
      </c>
      <c r="O401" s="373">
        <f ca="1">+IF(L401&gt;0,N401*100/L401,0)</f>
        <v>66.262067359925496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IFERROR(__xludf.DUMMYFUNCTION("IMPORTRANGE(""https://docs.google.com/spreadsheets/d/1XL5vhW3sbDhbH9Cz0tuDiY8C3ctxq1tqvaCgkFb8cCA/edit?usp=sharing"",""หนองคาย!I297"")"),55)</f>
        <v>55</v>
      </c>
      <c r="J402" s="371">
        <f ca="1">IFERROR(__xludf.DUMMYFUNCTION("IMPORTRANGE(""https://docs.google.com/spreadsheets/d/1XL5vhW3sbDhbH9Cz0tuDiY8C3ctxq1tqvaCgkFb8cCA/edit?usp=sharing"",""หนองคาย!J297"")"),55)</f>
        <v>55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IFERROR(__xludf.DUMMYFUNCTION("IMPORTRANGE(""https://docs.google.com/spreadsheets/d/1XL5vhW3sbDhbH9Cz0tuDiY8C3ctxq1tqvaCgkFb8cCA/edit?usp=sharing"",""หนองคาย!L298"")"),0)</f>
        <v>0</v>
      </c>
      <c r="M403" s="164"/>
      <c r="N403" s="169">
        <f ca="1">IFERROR(__xludf.DUMMYFUNCTION("IMPORTRANGE(""https://docs.google.com/spreadsheets/d/1XL5vhW3sbDhbH9Cz0tuDiY8C3ctxq1tqvaCgkFb8cCA/edit?usp=sharing"",""หนองคาย!M298"")"),0)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IFERROR(__xludf.DUMMYFUNCTION("IMPORTRANGE(""https://docs.google.com/spreadsheets/d/1XL5vhW3sbDhbH9Cz0tuDiY8C3ctxq1tqvaCgkFb8cCA/edit?usp=sharing"",""หนองคาย!L299"")"),193290)</f>
        <v>193290</v>
      </c>
      <c r="M404" s="165"/>
      <c r="N404" s="169">
        <f ca="1">IFERROR(__xludf.DUMMYFUNCTION("IMPORTRANGE(""https://docs.google.com/spreadsheets/d/1XL5vhW3sbDhbH9Cz0tuDiY8C3ctxq1tqvaCgkFb8cCA/edit?usp=sharing"",""หนองคาย!M299"")"),128077.95)</f>
        <v>128077.95</v>
      </c>
      <c r="O404" s="169">
        <f t="shared" ca="1" si="112"/>
        <v>66.262067359925496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IFERROR(__xludf.DUMMYFUNCTION("IMPORTRANGE(""https://docs.google.com/spreadsheets/d/1XL5vhW3sbDhbH9Cz0tuDiY8C3ctxq1tqvaCgkFb8cCA/edit?usp=sharing"",""หนองคาย!L300"")"),0)</f>
        <v>0</v>
      </c>
      <c r="M405" s="169"/>
      <c r="N405" s="169">
        <f ca="1">IFERROR(__xludf.DUMMYFUNCTION("IMPORTRANGE(""https://docs.google.com/spreadsheets/d/1XL5vhW3sbDhbH9Cz0tuDiY8C3ctxq1tqvaCgkFb8cCA/edit?usp=sharing"",""หนองคาย!M300"")"),0)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IFERROR(__xludf.DUMMYFUNCTION("IMPORTRANGE(""https://docs.google.com/spreadsheets/d/1XL5vhW3sbDhbH9Cz0tuDiY8C3ctxq1tqvaCgkFb8cCA/edit?usp=sharing"",""หนองคาย!L301"")"),193290)</f>
        <v>193290</v>
      </c>
      <c r="M406" s="169"/>
      <c r="N406" s="169">
        <f ca="1">IFERROR(__xludf.DUMMYFUNCTION("IMPORTRANGE(""https://docs.google.com/spreadsheets/d/1XL5vhW3sbDhbH9Cz0tuDiY8C3ctxq1tqvaCgkFb8cCA/edit?usp=sharing"",""หนองคาย!M301"")"),128077.95)</f>
        <v>128077.95</v>
      </c>
      <c r="O406" s="169">
        <f t="shared" ca="1" si="112"/>
        <v>66.262067359925496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IFERROR(__xludf.DUMMYFUNCTION("IMPORTRANGE(""https://docs.google.com/spreadsheets/d/1XL5vhW3sbDhbH9Cz0tuDiY8C3ctxq1tqvaCgkFb8cCA/edit?usp=sharing"",""หนองคาย!M302"")"),123397.95)</f>
        <v>123397.95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IFERROR(__xludf.DUMMYFUNCTION("IMPORTRANGE(""https://docs.google.com/spreadsheets/d/1XL5vhW3sbDhbH9Cz0tuDiY8C3ctxq1tqvaCgkFb8cCA/edit?usp=sharing"",""หนองคาย!M303"")"),0)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IFERROR(__xludf.DUMMYFUNCTION("IMPORTRANGE(""https://docs.google.com/spreadsheets/d/1XL5vhW3sbDhbH9Cz0tuDiY8C3ctxq1tqvaCgkFb8cCA/edit?usp=sharing"",""หนองคาย!M304"")"),0)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IFERROR(__xludf.DUMMYFUNCTION("IMPORTRANGE(""https://docs.google.com/spreadsheets/d/1XL5vhW3sbDhbH9Cz0tuDiY8C3ctxq1tqvaCgkFb8cCA/edit?usp=sharing"",""หนองคาย!M305"")"),4680)</f>
        <v>4680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IFERROR(__xludf.DUMMYFUNCTION("IMPORTRANGE(""https://docs.google.com/spreadsheets/d/1XL5vhW3sbDhbH9Cz0tuDiY8C3ctxq1tqvaCgkFb8cCA/edit?usp=sharing"",""หนองคาย!J307"")"),0)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IFERROR(__xludf.DUMMYFUNCTION("IMPORTRANGE(""https://docs.google.com/spreadsheets/d/1XL5vhW3sbDhbH9Cz0tuDiY8C3ctxq1tqvaCgkFb8cCA/edit?usp=sharing"",""หนองคาย!J308"")"),1)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IFERROR(__xludf.DUMMYFUNCTION("IMPORTRANGE(""https://docs.google.com/spreadsheets/d/1XL5vhW3sbDhbH9Cz0tuDiY8C3ctxq1tqvaCgkFb8cCA/edit?usp=sharing"",""หนองคาย!J309"")"),1)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IFERROR(__xludf.DUMMYFUNCTION("IMPORTRANGE(""https://docs.google.com/spreadsheets/d/1XL5vhW3sbDhbH9Cz0tuDiY8C3ctxq1tqvaCgkFb8cCA/edit?usp=sharing"",""หนองคาย!J310"")"),1)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IFERROR(__xludf.DUMMYFUNCTION("IMPORTRANGE(""https://docs.google.com/spreadsheets/d/1XL5vhW3sbDhbH9Cz0tuDiY8C3ctxq1tqvaCgkFb8cCA/edit?usp=sharing"",""หนองคาย!I311"")"),55)</f>
        <v>55</v>
      </c>
      <c r="J416" s="201">
        <f ca="1">IFERROR(__xludf.DUMMYFUNCTION("IMPORTRANGE(""https://docs.google.com/spreadsheets/d/1XL5vhW3sbDhbH9Cz0tuDiY8C3ctxq1tqvaCgkFb8cCA/edit?usp=sharing"",""หนองคาย!J311"")"),55)</f>
        <v>55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IFERROR(__xludf.DUMMYFUNCTION("IMPORTRANGE(""https://docs.google.com/spreadsheets/d/1XL5vhW3sbDhbH9Cz0tuDiY8C3ctxq1tqvaCgkFb8cCA/edit?usp=sharing"",""หนองคาย!I312"")"),20)</f>
        <v>20</v>
      </c>
      <c r="J417" s="392">
        <f ca="1">IFERROR(__xludf.DUMMYFUNCTION("IMPORTRANGE(""https://docs.google.com/spreadsheets/d/1XL5vhW3sbDhbH9Cz0tuDiY8C3ctxq1tqvaCgkFb8cCA/edit?usp=sharing"",""หนองคาย!J312"")"),20)</f>
        <v>20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IFERROR(__xludf.DUMMYFUNCTION("IMPORTRANGE(""https://docs.google.com/spreadsheets/d/1XL5vhW3sbDhbH9Cz0tuDiY8C3ctxq1tqvaCgkFb8cCA/edit?usp=sharing"",""หนองคาย!I313"")"),60)</f>
        <v>60</v>
      </c>
      <c r="J418" s="393">
        <f ca="1">IFERROR(__xludf.DUMMYFUNCTION("IMPORTRANGE(""https://docs.google.com/spreadsheets/d/1XL5vhW3sbDhbH9Cz0tuDiY8C3ctxq1tqvaCgkFb8cCA/edit?usp=sharing"",""หนองคาย!J313"")"),60)</f>
        <v>60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IFERROR(__xludf.DUMMYFUNCTION("IMPORTRANGE(""https://docs.google.com/spreadsheets/d/1XL5vhW3sbDhbH9Cz0tuDiY8C3ctxq1tqvaCgkFb8cCA/edit?usp=sharing"",""หนองคาย!I314"")"),20)</f>
        <v>20</v>
      </c>
      <c r="J419" s="394">
        <f ca="1">IFERROR(__xludf.DUMMYFUNCTION("IMPORTRANGE(""https://docs.google.com/spreadsheets/d/1XL5vhW3sbDhbH9Cz0tuDiY8C3ctxq1tqvaCgkFb8cCA/edit?usp=sharing"",""หนองคาย!J314"")"),20)</f>
        <v>20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IFERROR(__xludf.DUMMYFUNCTION("IMPORTRANGE(""https://docs.google.com/spreadsheets/d/1XL5vhW3sbDhbH9Cz0tuDiY8C3ctxq1tqvaCgkFb8cCA/edit?usp=sharing"",""หนองคาย!I315"")"),20)</f>
        <v>20</v>
      </c>
      <c r="J420" s="394">
        <f ca="1">IFERROR(__xludf.DUMMYFUNCTION("IMPORTRANGE(""https://docs.google.com/spreadsheets/d/1XL5vhW3sbDhbH9Cz0tuDiY8C3ctxq1tqvaCgkFb8cCA/edit?usp=sharing"",""หนองคาย!J315"")"),20)</f>
        <v>20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IFERROR(__xludf.DUMMYFUNCTION("IMPORTRANGE(""https://docs.google.com/spreadsheets/d/1XL5vhW3sbDhbH9Cz0tuDiY8C3ctxq1tqvaCgkFb8cCA/edit?usp=sharing"",""หนองคาย!I316"")"),25)</f>
        <v>25</v>
      </c>
      <c r="J421" s="392">
        <f ca="1">IFERROR(__xludf.DUMMYFUNCTION("IMPORTRANGE(""https://docs.google.com/spreadsheets/d/1XL5vhW3sbDhbH9Cz0tuDiY8C3ctxq1tqvaCgkFb8cCA/edit?usp=sharing"",""หนองคาย!J316"")"),25)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IFERROR(__xludf.DUMMYFUNCTION("IMPORTRANGE(""https://docs.google.com/spreadsheets/d/1XL5vhW3sbDhbH9Cz0tuDiY8C3ctxq1tqvaCgkFb8cCA/edit?usp=sharing"",""หนองคาย!I317"")"),75)</f>
        <v>75</v>
      </c>
      <c r="J422" s="393">
        <f ca="1">IFERROR(__xludf.DUMMYFUNCTION("IMPORTRANGE(""https://docs.google.com/spreadsheets/d/1XL5vhW3sbDhbH9Cz0tuDiY8C3ctxq1tqvaCgkFb8cCA/edit?usp=sharing"",""หนองคาย!J317"")"),75)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IFERROR(__xludf.DUMMYFUNCTION("IMPORTRANGE(""https://docs.google.com/spreadsheets/d/1XL5vhW3sbDhbH9Cz0tuDiY8C3ctxq1tqvaCgkFb8cCA/edit?usp=sharing"",""หนองคาย!I318"")"),25)</f>
        <v>25</v>
      </c>
      <c r="J423" s="394">
        <f ca="1">IFERROR(__xludf.DUMMYFUNCTION("IMPORTRANGE(""https://docs.google.com/spreadsheets/d/1XL5vhW3sbDhbH9Cz0tuDiY8C3ctxq1tqvaCgkFb8cCA/edit?usp=sharing"",""หนองคาย!J318"")"),25)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IFERROR(__xludf.DUMMYFUNCTION("IMPORTRANGE(""https://docs.google.com/spreadsheets/d/1XL5vhW3sbDhbH9Cz0tuDiY8C3ctxq1tqvaCgkFb8cCA/edit?usp=sharing"",""หนองคาย!I319"")"),25)</f>
        <v>25</v>
      </c>
      <c r="J424" s="394">
        <f ca="1">IFERROR(__xludf.DUMMYFUNCTION("IMPORTRANGE(""https://docs.google.com/spreadsheets/d/1XL5vhW3sbDhbH9Cz0tuDiY8C3ctxq1tqvaCgkFb8cCA/edit?usp=sharing"",""หนองคาย!J319"")"),25)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IFERROR(__xludf.DUMMYFUNCTION("IMPORTRANGE(""https://docs.google.com/spreadsheets/d/1XL5vhW3sbDhbH9Cz0tuDiY8C3ctxq1tqvaCgkFb8cCA/edit?usp=sharing"",""หนองคาย!I320"")"),25)</f>
        <v>25</v>
      </c>
      <c r="J425" s="394">
        <f ca="1">IFERROR(__xludf.DUMMYFUNCTION("IMPORTRANGE(""https://docs.google.com/spreadsheets/d/1XL5vhW3sbDhbH9Cz0tuDiY8C3ctxq1tqvaCgkFb8cCA/edit?usp=sharing"",""หนองคาย!J320"")"),25)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IFERROR(__xludf.DUMMYFUNCTION("IMPORTRANGE(""https://docs.google.com/spreadsheets/d/1XL5vhW3sbDhbH9Cz0tuDiY8C3ctxq1tqvaCgkFb8cCA/edit?usp=sharing"",""หนองคาย!I321"")"),10)</f>
        <v>10</v>
      </c>
      <c r="J426" s="392">
        <f ca="1">IFERROR(__xludf.DUMMYFUNCTION("IMPORTRANGE(""https://docs.google.com/spreadsheets/d/1XL5vhW3sbDhbH9Cz0tuDiY8C3ctxq1tqvaCgkFb8cCA/edit?usp=sharing"",""หนองคาย!J321"")"),10)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IFERROR(__xludf.DUMMYFUNCTION("IMPORTRANGE(""https://docs.google.com/spreadsheets/d/1XL5vhW3sbDhbH9Cz0tuDiY8C3ctxq1tqvaCgkFb8cCA/edit?usp=sharing"",""หนองคาย!I322"")"),30)</f>
        <v>30</v>
      </c>
      <c r="J427" s="393">
        <f ca="1">IFERROR(__xludf.DUMMYFUNCTION("IMPORTRANGE(""https://docs.google.com/spreadsheets/d/1XL5vhW3sbDhbH9Cz0tuDiY8C3ctxq1tqvaCgkFb8cCA/edit?usp=sharing"",""หนองคาย!J322"")"),30)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IFERROR(__xludf.DUMMYFUNCTION("IMPORTRANGE(""https://docs.google.com/spreadsheets/d/1XL5vhW3sbDhbH9Cz0tuDiY8C3ctxq1tqvaCgkFb8cCA/edit?usp=sharing"",""หนองคาย!I323"")"),10)</f>
        <v>10</v>
      </c>
      <c r="J428" s="394">
        <f ca="1">IFERROR(__xludf.DUMMYFUNCTION("IMPORTRANGE(""https://docs.google.com/spreadsheets/d/1XL5vhW3sbDhbH9Cz0tuDiY8C3ctxq1tqvaCgkFb8cCA/edit?usp=sharing"",""หนองคาย!J323"")"),10)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IFERROR(__xludf.DUMMYFUNCTION("IMPORTRANGE(""https://docs.google.com/spreadsheets/d/1XL5vhW3sbDhbH9Cz0tuDiY8C3ctxq1tqvaCgkFb8cCA/edit?usp=sharing"",""หนองคาย!I324"")"),10)</f>
        <v>10</v>
      </c>
      <c r="J429" s="394">
        <f ca="1">IFERROR(__xludf.DUMMYFUNCTION("IMPORTRANGE(""https://docs.google.com/spreadsheets/d/1XL5vhW3sbDhbH9Cz0tuDiY8C3ctxq1tqvaCgkFb8cCA/edit?usp=sharing"",""หนองคาย!J324"")"),10)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IFERROR(__xludf.DUMMYFUNCTION("IMPORTRANGE(""https://docs.google.com/spreadsheets/d/1XL5vhW3sbDhbH9Cz0tuDiY8C3ctxq1tqvaCgkFb8cCA/edit?usp=sharing"",""หนองคาย!I325"")"),45)</f>
        <v>45</v>
      </c>
      <c r="J430" s="392">
        <f ca="1">IFERROR(__xludf.DUMMYFUNCTION("IMPORTRANGE(""https://docs.google.com/spreadsheets/d/1XL5vhW3sbDhbH9Cz0tuDiY8C3ctxq1tqvaCgkFb8cCA/edit?usp=sharing"",""หนองคาย!J325"")"),0)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IFERROR(__xludf.DUMMYFUNCTION("IMPORTRANGE(""https://docs.google.com/spreadsheets/d/1XL5vhW3sbDhbH9Cz0tuDiY8C3ctxq1tqvaCgkFb8cCA/edit?usp=sharing"",""หนองคาย!I326"")"),20)</f>
        <v>20</v>
      </c>
      <c r="J431" s="394">
        <f ca="1">IFERROR(__xludf.DUMMYFUNCTION("IMPORTRANGE(""https://docs.google.com/spreadsheets/d/1XL5vhW3sbDhbH9Cz0tuDiY8C3ctxq1tqvaCgkFb8cCA/edit?usp=sharing"",""หนองคาย!J326"")"),0)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IFERROR(__xludf.DUMMYFUNCTION("IMPORTRANGE(""https://docs.google.com/spreadsheets/d/1XL5vhW3sbDhbH9Cz0tuDiY8C3ctxq1tqvaCgkFb8cCA/edit?usp=sharing"",""หนองคาย!I327"")"),25)</f>
        <v>25</v>
      </c>
      <c r="J432" s="394">
        <f ca="1">IFERROR(__xludf.DUMMYFUNCTION("IMPORTRANGE(""https://docs.google.com/spreadsheets/d/1XL5vhW3sbDhbH9Cz0tuDiY8C3ctxq1tqvaCgkFb8cCA/edit?usp=sharing"",""หนองคาย!J327"")"),0)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IFERROR(__xludf.DUMMYFUNCTION("IMPORTRANGE(""https://docs.google.com/spreadsheets/d/1XL5vhW3sbDhbH9Cz0tuDiY8C3ctxq1tqvaCgkFb8cCA/edit?usp=sharing"",""หนองคาย!J328"")"),0)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IFERROR(__xludf.DUMMYFUNCTION("IMPORTRANGE(""https://docs.google.com/spreadsheets/d/1XL5vhW3sbDhbH9Cz0tuDiY8C3ctxq1tqvaCgkFb8cCA/edit?usp=sharing"",""หนองคาย!J329"")"),0)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IFERROR(__xludf.DUMMYFUNCTION("IMPORTRANGE(""https://docs.google.com/spreadsheets/d/1XL5vhW3sbDhbH9Cz0tuDiY8C3ctxq1tqvaCgkFb8cCA/edit?usp=sharing"",""หนองคาย!I330"")"),15)</f>
        <v>15</v>
      </c>
      <c r="J435" s="410">
        <f ca="1">IFERROR(__xludf.DUMMYFUNCTION("IMPORTRANGE(""https://docs.google.com/spreadsheets/d/1XL5vhW3sbDhbH9Cz0tuDiY8C3ctxq1tqvaCgkFb8cCA/edit?usp=sharing"",""หนองคาย!J330"")"),15)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IFERROR(__xludf.DUMMYFUNCTION("IMPORTRANGE(""https://docs.google.com/spreadsheets/d/1XL5vhW3sbDhbH9Cz0tuDiY8C3ctxq1tqvaCgkFb8cCA/edit?usp=sharing"",""หนองคาย!L330"")"),88000)</f>
        <v>88000</v>
      </c>
      <c r="M435" s="412"/>
      <c r="N435" s="412">
        <f ca="1">IFERROR(__xludf.DUMMYFUNCTION("IMPORTRANGE(""https://docs.google.com/spreadsheets/d/1XL5vhW3sbDhbH9Cz0tuDiY8C3ctxq1tqvaCgkFb8cCA/edit?usp=sharing"",""หนองคาย!M330"")"),34940)</f>
        <v>34940</v>
      </c>
      <c r="O435" s="412">
        <f t="shared" ref="O435:O439" ca="1" si="114">+IF(L435&gt;0,N435*100/L435,0)</f>
        <v>39.704545454545453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IFERROR(__xludf.DUMMYFUNCTION("IMPORTRANGE(""https://docs.google.com/spreadsheets/d/1XL5vhW3sbDhbH9Cz0tuDiY8C3ctxq1tqvaCgkFb8cCA/edit?usp=sharing"",""หนองคาย!L331"")"),0)</f>
        <v>0</v>
      </c>
      <c r="M436" s="164"/>
      <c r="N436" s="169">
        <f ca="1">IFERROR(__xludf.DUMMYFUNCTION("IMPORTRANGE(""https://docs.google.com/spreadsheets/d/1XL5vhW3sbDhbH9Cz0tuDiY8C3ctxq1tqvaCgkFb8cCA/edit?usp=sharing"",""หนองคาย!M331"")"),0)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IFERROR(__xludf.DUMMYFUNCTION("IMPORTRANGE(""https://docs.google.com/spreadsheets/d/1XL5vhW3sbDhbH9Cz0tuDiY8C3ctxq1tqvaCgkFb8cCA/edit?usp=sharing"",""หนองคาย!L332"")"),88000)</f>
        <v>88000</v>
      </c>
      <c r="M437" s="165"/>
      <c r="N437" s="169">
        <f ca="1">IFERROR(__xludf.DUMMYFUNCTION("IMPORTRANGE(""https://docs.google.com/spreadsheets/d/1XL5vhW3sbDhbH9Cz0tuDiY8C3ctxq1tqvaCgkFb8cCA/edit?usp=sharing"",""หนองคาย!M332"")"),34940)</f>
        <v>34940</v>
      </c>
      <c r="O437" s="169">
        <f t="shared" ca="1" si="114"/>
        <v>39.704545454545453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IFERROR(__xludf.DUMMYFUNCTION("IMPORTRANGE(""https://docs.google.com/spreadsheets/d/1XL5vhW3sbDhbH9Cz0tuDiY8C3ctxq1tqvaCgkFb8cCA/edit?usp=sharing"",""หนองคาย!L333"")"),0)</f>
        <v>0</v>
      </c>
      <c r="M438" s="169"/>
      <c r="N438" s="169">
        <f ca="1">IFERROR(__xludf.DUMMYFUNCTION("IMPORTRANGE(""https://docs.google.com/spreadsheets/d/1XL5vhW3sbDhbH9Cz0tuDiY8C3ctxq1tqvaCgkFb8cCA/edit?usp=sharing"",""หนองคาย!M333"")"),0)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IFERROR(__xludf.DUMMYFUNCTION("IMPORTRANGE(""https://docs.google.com/spreadsheets/d/1XL5vhW3sbDhbH9Cz0tuDiY8C3ctxq1tqvaCgkFb8cCA/edit?usp=sharing"",""หนองคาย!L334"")"),88000)</f>
        <v>88000</v>
      </c>
      <c r="M439" s="169"/>
      <c r="N439" s="169">
        <f ca="1">IFERROR(__xludf.DUMMYFUNCTION("IMPORTRANGE(""https://docs.google.com/spreadsheets/d/1XL5vhW3sbDhbH9Cz0tuDiY8C3ctxq1tqvaCgkFb8cCA/edit?usp=sharing"",""หนองคาย!M334"")"),34940)</f>
        <v>34940</v>
      </c>
      <c r="O439" s="169">
        <f t="shared" ca="1" si="114"/>
        <v>39.704545454545453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IFERROR(__xludf.DUMMYFUNCTION("IMPORTRANGE(""https://docs.google.com/spreadsheets/d/1XL5vhW3sbDhbH9Cz0tuDiY8C3ctxq1tqvaCgkFb8cCA/edit?usp=sharing"",""หนองคาย!M335"")"),32220)</f>
        <v>32220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IFERROR(__xludf.DUMMYFUNCTION("IMPORTRANGE(""https://docs.google.com/spreadsheets/d/1XL5vhW3sbDhbH9Cz0tuDiY8C3ctxq1tqvaCgkFb8cCA/edit?usp=sharing"",""หนองคาย!M336"")"),0)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IFERROR(__xludf.DUMMYFUNCTION("IMPORTRANGE(""https://docs.google.com/spreadsheets/d/1XL5vhW3sbDhbH9Cz0tuDiY8C3ctxq1tqvaCgkFb8cCA/edit?usp=sharing"",""หนองคาย!M337"")"),0)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IFERROR(__xludf.DUMMYFUNCTION("IMPORTRANGE(""https://docs.google.com/spreadsheets/d/1XL5vhW3sbDhbH9Cz0tuDiY8C3ctxq1tqvaCgkFb8cCA/edit?usp=sharing"",""หนองคาย!M338"")"),2720)</f>
        <v>2720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IFERROR(__xludf.DUMMYFUNCTION("IMPORTRANGE(""https://docs.google.com/spreadsheets/d/1XL5vhW3sbDhbH9Cz0tuDiY8C3ctxq1tqvaCgkFb8cCA/edit?usp=sharing"",""หนองคาย!J340"")"),0)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IFERROR(__xludf.DUMMYFUNCTION("IMPORTRANGE(""https://docs.google.com/spreadsheets/d/1XL5vhW3sbDhbH9Cz0tuDiY8C3ctxq1tqvaCgkFb8cCA/edit?usp=sharing"",""หนองคาย!J341"")"),1)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IFERROR(__xludf.DUMMYFUNCTION("IMPORTRANGE(""https://docs.google.com/spreadsheets/d/1XL5vhW3sbDhbH9Cz0tuDiY8C3ctxq1tqvaCgkFb8cCA/edit?usp=sharing"",""หนองคาย!J342"")"),1)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IFERROR(__xludf.DUMMYFUNCTION("IMPORTRANGE(""https://docs.google.com/spreadsheets/d/1XL5vhW3sbDhbH9Cz0tuDiY8C3ctxq1tqvaCgkFb8cCA/edit?usp=sharing"",""หนองคาย!J343"")"),1)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IFERROR(__xludf.DUMMYFUNCTION("IMPORTRANGE(""https://docs.google.com/spreadsheets/d/1XL5vhW3sbDhbH9Cz0tuDiY8C3ctxq1tqvaCgkFb8cCA/edit?usp=sharing"",""หนองคาย!I344"")"),15)</f>
        <v>15</v>
      </c>
      <c r="J449" s="201">
        <f ca="1">IFERROR(__xludf.DUMMYFUNCTION("IMPORTRANGE(""https://docs.google.com/spreadsheets/d/1XL5vhW3sbDhbH9Cz0tuDiY8C3ctxq1tqvaCgkFb8cCA/edit?usp=sharing"",""หนองคาย!J344"")"),15)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IFERROR(__xludf.DUMMYFUNCTION("IMPORTRANGE(""https://docs.google.com/spreadsheets/d/1XL5vhW3sbDhbH9Cz0tuDiY8C3ctxq1tqvaCgkFb8cCA/edit?usp=sharing"",""หนองคาย!I345"")"),15)</f>
        <v>15</v>
      </c>
      <c r="J450" s="189">
        <f ca="1">IFERROR(__xludf.DUMMYFUNCTION("IMPORTRANGE(""https://docs.google.com/spreadsheets/d/1XL5vhW3sbDhbH9Cz0tuDiY8C3ctxq1tqvaCgkFb8cCA/edit?usp=sharing"",""หนองคาย!J345"")"),15)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IFERROR(__xludf.DUMMYFUNCTION("IMPORTRANGE(""https://docs.google.com/spreadsheets/d/1XL5vhW3sbDhbH9Cz0tuDiY8C3ctxq1tqvaCgkFb8cCA/edit?usp=sharing"",""หนองคาย!I346"")"),0)</f>
        <v>0</v>
      </c>
      <c r="J451" s="188">
        <f ca="1">IFERROR(__xludf.DUMMYFUNCTION("IMPORTRANGE(""https://docs.google.com/spreadsheets/d/1XL5vhW3sbDhbH9Cz0tuDiY8C3ctxq1tqvaCgkFb8cCA/edit?usp=sharing"",""หนองคาย!J346"")"),0)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IFERROR(__xludf.DUMMYFUNCTION("IMPORTRANGE(""https://docs.google.com/spreadsheets/d/1XL5vhW3sbDhbH9Cz0tuDiY8C3ctxq1tqvaCgkFb8cCA/edit?usp=sharing"",""หนองคาย!I347"")"),0)</f>
        <v>0</v>
      </c>
      <c r="J452" s="188">
        <f ca="1">IFERROR(__xludf.DUMMYFUNCTION("IMPORTRANGE(""https://docs.google.com/spreadsheets/d/1XL5vhW3sbDhbH9Cz0tuDiY8C3ctxq1tqvaCgkFb8cCA/edit?usp=sharing"",""หนองคาย!J347"")"),0)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IFERROR(__xludf.DUMMYFUNCTION("IMPORTRANGE(""https://docs.google.com/spreadsheets/d/1XL5vhW3sbDhbH9Cz0tuDiY8C3ctxq1tqvaCgkFb8cCA/edit?usp=sharing"",""หนองคาย!J348"")"),0)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IFERROR(__xludf.DUMMYFUNCTION("IMPORTRANGE(""https://docs.google.com/spreadsheets/d/1XL5vhW3sbDhbH9Cz0tuDiY8C3ctxq1tqvaCgkFb8cCA/edit?usp=sharing"",""หนองคาย!J349"")"),0)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IFERROR(__xludf.DUMMYFUNCTION("IMPORTRANGE(""https://docs.google.com/spreadsheets/d/1XL5vhW3sbDhbH9Cz0tuDiY8C3ctxq1tqvaCgkFb8cCA/edit?usp=sharing"",""หนองคาย!I350"")"),52883)</f>
        <v>52883</v>
      </c>
      <c r="J455" s="371">
        <f ca="1">IFERROR(__xludf.DUMMYFUNCTION("IMPORTRANGE(""https://docs.google.com/spreadsheets/d/1XL5vhW3sbDhbH9Cz0tuDiY8C3ctxq1tqvaCgkFb8cCA/edit?usp=sharing"",""หนองคาย!J350"")"),52883.66)</f>
        <v>52883.66</v>
      </c>
      <c r="K455" s="372">
        <f ca="1">IF(I455&gt;0,J455*100/I455,0)</f>
        <v>100.00124803812189</v>
      </c>
      <c r="L455" s="373">
        <f ca="1">IFERROR(__xludf.DUMMYFUNCTION("IMPORTRANGE(""https://docs.google.com/spreadsheets/d/1XL5vhW3sbDhbH9Cz0tuDiY8C3ctxq1tqvaCgkFb8cCA/edit?usp=sharing"",""หนองคาย!L350"")"),861860)</f>
        <v>861860</v>
      </c>
      <c r="M455" s="373"/>
      <c r="N455" s="373">
        <f ca="1">IFERROR(__xludf.DUMMYFUNCTION("IMPORTRANGE(""https://docs.google.com/spreadsheets/d/1XL5vhW3sbDhbH9Cz0tuDiY8C3ctxq1tqvaCgkFb8cCA/edit?usp=sharing"",""หนองคาย!M350"")"),225441.35)</f>
        <v>225441.35</v>
      </c>
      <c r="O455" s="373">
        <f t="shared" ref="O455:O459" ca="1" si="116">+IF(L455&gt;0,N455*100/L455,0)</f>
        <v>26.157537187014132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IFERROR(__xludf.DUMMYFUNCTION("IMPORTRANGE(""https://docs.google.com/spreadsheets/d/1XL5vhW3sbDhbH9Cz0tuDiY8C3ctxq1tqvaCgkFb8cCA/edit?usp=sharing"",""หนองคาย!L351"")"),0)</f>
        <v>0</v>
      </c>
      <c r="M456" s="164"/>
      <c r="N456" s="169">
        <f ca="1">IFERROR(__xludf.DUMMYFUNCTION("IMPORTRANGE(""https://docs.google.com/spreadsheets/d/1XL5vhW3sbDhbH9Cz0tuDiY8C3ctxq1tqvaCgkFb8cCA/edit?usp=sharing"",""หนองคาย!M351"")"),0)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IFERROR(__xludf.DUMMYFUNCTION("IMPORTRANGE(""https://docs.google.com/spreadsheets/d/1XL5vhW3sbDhbH9Cz0tuDiY8C3ctxq1tqvaCgkFb8cCA/edit?usp=sharing"",""หนองคาย!L352"")"),861860)</f>
        <v>861860</v>
      </c>
      <c r="M457" s="165"/>
      <c r="N457" s="169">
        <f ca="1">IFERROR(__xludf.DUMMYFUNCTION("IMPORTRANGE(""https://docs.google.com/spreadsheets/d/1XL5vhW3sbDhbH9Cz0tuDiY8C3ctxq1tqvaCgkFb8cCA/edit?usp=sharing"",""หนองคาย!M352"")"),225441.35)</f>
        <v>225441.35</v>
      </c>
      <c r="O457" s="169">
        <f t="shared" ca="1" si="116"/>
        <v>26.157537187014132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IFERROR(__xludf.DUMMYFUNCTION("IMPORTRANGE(""https://docs.google.com/spreadsheets/d/1XL5vhW3sbDhbH9Cz0tuDiY8C3ctxq1tqvaCgkFb8cCA/edit?usp=sharing"",""หนองคาย!L353"")"),0)</f>
        <v>0</v>
      </c>
      <c r="M458" s="169"/>
      <c r="N458" s="169">
        <f ca="1">IFERROR(__xludf.DUMMYFUNCTION("IMPORTRANGE(""https://docs.google.com/spreadsheets/d/1XL5vhW3sbDhbH9Cz0tuDiY8C3ctxq1tqvaCgkFb8cCA/edit?usp=sharing"",""หนองคาย!M353"")"),0)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IFERROR(__xludf.DUMMYFUNCTION("IMPORTRANGE(""https://docs.google.com/spreadsheets/d/1XL5vhW3sbDhbH9Cz0tuDiY8C3ctxq1tqvaCgkFb8cCA/edit?usp=sharing"",""หนองคาย!L354"")"),861860)</f>
        <v>861860</v>
      </c>
      <c r="M459" s="169"/>
      <c r="N459" s="169">
        <f ca="1">IFERROR(__xludf.DUMMYFUNCTION("IMPORTRANGE(""https://docs.google.com/spreadsheets/d/1XL5vhW3sbDhbH9Cz0tuDiY8C3ctxq1tqvaCgkFb8cCA/edit?usp=sharing"",""หนองคาย!M354"")"),225441.35)</f>
        <v>225441.35</v>
      </c>
      <c r="O459" s="169">
        <f t="shared" ca="1" si="116"/>
        <v>26.157537187014132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IFERROR(__xludf.DUMMYFUNCTION("IMPORTRANGE(""https://docs.google.com/spreadsheets/d/1XL5vhW3sbDhbH9Cz0tuDiY8C3ctxq1tqvaCgkFb8cCA/edit?usp=sharing"",""หนองคาย!M355"")"),0)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IFERROR(__xludf.DUMMYFUNCTION("IMPORTRANGE(""https://docs.google.com/spreadsheets/d/1XL5vhW3sbDhbH9Cz0tuDiY8C3ctxq1tqvaCgkFb8cCA/edit?usp=sharing"",""หนองคาย!M356"")"),0)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IFERROR(__xludf.DUMMYFUNCTION("IMPORTRANGE(""https://docs.google.com/spreadsheets/d/1XL5vhW3sbDhbH9Cz0tuDiY8C3ctxq1tqvaCgkFb8cCA/edit?usp=sharing"",""หนองคาย!M357"")"),45833.35)</f>
        <v>45833.35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IFERROR(__xludf.DUMMYFUNCTION("IMPORTRANGE(""https://docs.google.com/spreadsheets/d/1XL5vhW3sbDhbH9Cz0tuDiY8C3ctxq1tqvaCgkFb8cCA/edit?usp=sharing"",""หนองคาย!M358"")"),179608)</f>
        <v>179608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IFERROR(__xludf.DUMMYFUNCTION("IMPORTRANGE(""https://docs.google.com/spreadsheets/d/1XL5vhW3sbDhbH9Cz0tuDiY8C3ctxq1tqvaCgkFb8cCA/edit?usp=sharing"",""หนองคาย!I359"")"),52883)</f>
        <v>52883</v>
      </c>
      <c r="J464" s="267">
        <f ca="1">IFERROR(__xludf.DUMMYFUNCTION("IMPORTRANGE(""https://docs.google.com/spreadsheets/d/1XL5vhW3sbDhbH9Cz0tuDiY8C3ctxq1tqvaCgkFb8cCA/edit?usp=sharing"",""หนองคาย!J359"")"),52883.66)</f>
        <v>52883.66</v>
      </c>
      <c r="K464" s="268">
        <f t="shared" ref="K464:K515" ca="1" si="117">IF(I464&gt;0,J464*100/I464,0)</f>
        <v>100.00124803812189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IFERROR(__xludf.DUMMYFUNCTION("IMPORTRANGE(""https://docs.google.com/spreadsheets/d/1XL5vhW3sbDhbH9Cz0tuDiY8C3ctxq1tqvaCgkFb8cCA/edit?usp=sharing"",""หนองคาย!I360"")"),52883)</f>
        <v>52883</v>
      </c>
      <c r="J465" s="420">
        <f ca="1">IFERROR(__xludf.DUMMYFUNCTION("IMPORTRANGE(""https://docs.google.com/spreadsheets/d/1XL5vhW3sbDhbH9Cz0tuDiY8C3ctxq1tqvaCgkFb8cCA/edit?usp=sharing"",""หนองคาย!J360"")"),52883.666)</f>
        <v>52883.665999999997</v>
      </c>
      <c r="K465" s="202">
        <f t="shared" ca="1" si="117"/>
        <v>100.001259383923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IFERROR(__xludf.DUMMYFUNCTION("IMPORTRANGE(""https://docs.google.com/spreadsheets/d/1XL5vhW3sbDhbH9Cz0tuDiY8C3ctxq1tqvaCgkFb8cCA/edit?usp=sharing"",""หนองคาย!I361"")"),6542)</f>
        <v>6542</v>
      </c>
      <c r="J466" s="420">
        <f ca="1">IFERROR(__xludf.DUMMYFUNCTION("IMPORTRANGE(""https://docs.google.com/spreadsheets/d/1XL5vhW3sbDhbH9Cz0tuDiY8C3ctxq1tqvaCgkFb8cCA/edit?usp=sharing"",""หนองคาย!J361"")"),6542)</f>
        <v>6542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IFERROR(__xludf.DUMMYFUNCTION("IMPORTRANGE(""https://docs.google.com/spreadsheets/d/1XL5vhW3sbDhbH9Cz0tuDiY8C3ctxq1tqvaCgkFb8cCA/edit?usp=sharing"",""หนองคาย!I362"")"),0)</f>
        <v>0</v>
      </c>
      <c r="J467" s="189">
        <f ca="1">IFERROR(__xludf.DUMMYFUNCTION("IMPORTRANGE(""https://docs.google.com/spreadsheets/d/1XL5vhW3sbDhbH9Cz0tuDiY8C3ctxq1tqvaCgkFb8cCA/edit?usp=sharing"",""หนองคาย!J362"")"),39126.628)</f>
        <v>39126.627999999997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IFERROR(__xludf.DUMMYFUNCTION("IMPORTRANGE(""https://docs.google.com/spreadsheets/d/1XL5vhW3sbDhbH9Cz0tuDiY8C3ctxq1tqvaCgkFb8cCA/edit?usp=sharing"",""หนองคาย!I363"")"),0)</f>
        <v>0</v>
      </c>
      <c r="J468" s="189">
        <f ca="1">IFERROR(__xludf.DUMMYFUNCTION("IMPORTRANGE(""https://docs.google.com/spreadsheets/d/1XL5vhW3sbDhbH9Cz0tuDiY8C3ctxq1tqvaCgkFb8cCA/edit?usp=sharing"",""หนองคาย!J363"")"),5130)</f>
        <v>5130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IFERROR(__xludf.DUMMYFUNCTION("IMPORTRANGE(""https://docs.google.com/spreadsheets/d/1XL5vhW3sbDhbH9Cz0tuDiY8C3ctxq1tqvaCgkFb8cCA/edit?usp=sharing"",""หนองคาย!I364"")"),0)</f>
        <v>0</v>
      </c>
      <c r="J469" s="189">
        <f ca="1">IFERROR(__xludf.DUMMYFUNCTION("IMPORTRANGE(""https://docs.google.com/spreadsheets/d/1XL5vhW3sbDhbH9Cz0tuDiY8C3ctxq1tqvaCgkFb8cCA/edit?usp=sharing"",""หนองคาย!J364"")"),11653.51)</f>
        <v>11653.51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IFERROR(__xludf.DUMMYFUNCTION("IMPORTRANGE(""https://docs.google.com/spreadsheets/d/1XL5vhW3sbDhbH9Cz0tuDiY8C3ctxq1tqvaCgkFb8cCA/edit?usp=sharing"",""หนองคาย!I365"")"),0)</f>
        <v>0</v>
      </c>
      <c r="J470" s="189">
        <f ca="1">IFERROR(__xludf.DUMMYFUNCTION("IMPORTRANGE(""https://docs.google.com/spreadsheets/d/1XL5vhW3sbDhbH9Cz0tuDiY8C3ctxq1tqvaCgkFb8cCA/edit?usp=sharing"",""หนองคาย!J365"")"),1214)</f>
        <v>1214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IFERROR(__xludf.DUMMYFUNCTION("IMPORTRANGE(""https://docs.google.com/spreadsheets/d/1XL5vhW3sbDhbH9Cz0tuDiY8C3ctxq1tqvaCgkFb8cCA/edit?usp=sharing"",""หนองคาย!I366"")"),0)</f>
        <v>0</v>
      </c>
      <c r="J471" s="189">
        <f ca="1">IFERROR(__xludf.DUMMYFUNCTION("IMPORTRANGE(""https://docs.google.com/spreadsheets/d/1XL5vhW3sbDhbH9Cz0tuDiY8C3ctxq1tqvaCgkFb8cCA/edit?usp=sharing"",""หนองคาย!J366"")"),2103.528)</f>
        <v>2103.5279999999998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IFERROR(__xludf.DUMMYFUNCTION("IMPORTRANGE(""https://docs.google.com/spreadsheets/d/1XL5vhW3sbDhbH9Cz0tuDiY8C3ctxq1tqvaCgkFb8cCA/edit?usp=sharing"",""หนองคาย!I367"")"),0)</f>
        <v>0</v>
      </c>
      <c r="J472" s="189">
        <f ca="1">IFERROR(__xludf.DUMMYFUNCTION("IMPORTRANGE(""https://docs.google.com/spreadsheets/d/1XL5vhW3sbDhbH9Cz0tuDiY8C3ctxq1tqvaCgkFb8cCA/edit?usp=sharing"",""หนองคาย!J367"")"),198)</f>
        <v>198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IFERROR(__xludf.DUMMYFUNCTION("IMPORTRANGE(""https://docs.google.com/spreadsheets/d/1XL5vhW3sbDhbH9Cz0tuDiY8C3ctxq1tqvaCgkFb8cCA/edit?usp=sharing"",""หนองคาย!I368"")"),52883)</f>
        <v>52883</v>
      </c>
      <c r="J473" s="420">
        <f ca="1">IFERROR(__xludf.DUMMYFUNCTION("IMPORTRANGE(""https://docs.google.com/spreadsheets/d/1XL5vhW3sbDhbH9Cz0tuDiY8C3ctxq1tqvaCgkFb8cCA/edit?usp=sharing"",""หนองคาย!J368"")"),52883.66)</f>
        <v>52883.66</v>
      </c>
      <c r="K473" s="202">
        <f t="shared" ca="1" si="117"/>
        <v>100.00124803812189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IFERROR(__xludf.DUMMYFUNCTION("IMPORTRANGE(""https://docs.google.com/spreadsheets/d/1XL5vhW3sbDhbH9Cz0tuDiY8C3ctxq1tqvaCgkFb8cCA/edit?usp=sharing"",""หนองคาย!I369"")"),6542)</f>
        <v>6542</v>
      </c>
      <c r="J474" s="420">
        <f ca="1">IFERROR(__xludf.DUMMYFUNCTION("IMPORTRANGE(""https://docs.google.com/spreadsheets/d/1XL5vhW3sbDhbH9Cz0tuDiY8C3ctxq1tqvaCgkFb8cCA/edit?usp=sharing"",""หนองคาย!J369"")"),6542)</f>
        <v>6542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IFERROR(__xludf.DUMMYFUNCTION("IMPORTRANGE(""https://docs.google.com/spreadsheets/d/1XL5vhW3sbDhbH9Cz0tuDiY8C3ctxq1tqvaCgkFb8cCA/edit?usp=sharing"",""หนองคาย!I370"")"),0)</f>
        <v>0</v>
      </c>
      <c r="J475" s="189">
        <f ca="1">IFERROR(__xludf.DUMMYFUNCTION("IMPORTRANGE(""https://docs.google.com/spreadsheets/d/1XL5vhW3sbDhbH9Cz0tuDiY8C3ctxq1tqvaCgkFb8cCA/edit?usp=sharing"",""หนองคาย!J370"")"),37655.71)</f>
        <v>37655.71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IFERROR(__xludf.DUMMYFUNCTION("IMPORTRANGE(""https://docs.google.com/spreadsheets/d/1XL5vhW3sbDhbH9Cz0tuDiY8C3ctxq1tqvaCgkFb8cCA/edit?usp=sharing"",""หนองคาย!I371"")"),0)</f>
        <v>0</v>
      </c>
      <c r="J476" s="189">
        <f ca="1">IFERROR(__xludf.DUMMYFUNCTION("IMPORTRANGE(""https://docs.google.com/spreadsheets/d/1XL5vhW3sbDhbH9Cz0tuDiY8C3ctxq1tqvaCgkFb8cCA/edit?usp=sharing"",""หนองคาย!J371"")"),5163)</f>
        <v>5163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IFERROR(__xludf.DUMMYFUNCTION("IMPORTRANGE(""https://docs.google.com/spreadsheets/d/1XL5vhW3sbDhbH9Cz0tuDiY8C3ctxq1tqvaCgkFb8cCA/edit?usp=sharing"",""หนองคาย!I372"")"),0)</f>
        <v>0</v>
      </c>
      <c r="J477" s="189">
        <f ca="1">IFERROR(__xludf.DUMMYFUNCTION("IMPORTRANGE(""https://docs.google.com/spreadsheets/d/1XL5vhW3sbDhbH9Cz0tuDiY8C3ctxq1tqvaCgkFb8cCA/edit?usp=sharing"",""หนองคาย!J372"")"),13158.87)</f>
        <v>13158.87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IFERROR(__xludf.DUMMYFUNCTION("IMPORTRANGE(""https://docs.google.com/spreadsheets/d/1XL5vhW3sbDhbH9Cz0tuDiY8C3ctxq1tqvaCgkFb8cCA/edit?usp=sharing"",""หนองคาย!I373"")"),0)</f>
        <v>0</v>
      </c>
      <c r="J478" s="189">
        <f ca="1">IFERROR(__xludf.DUMMYFUNCTION("IMPORTRANGE(""https://docs.google.com/spreadsheets/d/1XL5vhW3sbDhbH9Cz0tuDiY8C3ctxq1tqvaCgkFb8cCA/edit?usp=sharing"",""หนองคาย!J373"")"),1193)</f>
        <v>1193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IFERROR(__xludf.DUMMYFUNCTION("IMPORTRANGE(""https://docs.google.com/spreadsheets/d/1XL5vhW3sbDhbH9Cz0tuDiY8C3ctxq1tqvaCgkFb8cCA/edit?usp=sharing"",""หนองคาย!I374"")"),0)</f>
        <v>0</v>
      </c>
      <c r="J479" s="189">
        <f ca="1">IFERROR(__xludf.DUMMYFUNCTION("IMPORTRANGE(""https://docs.google.com/spreadsheets/d/1XL5vhW3sbDhbH9Cz0tuDiY8C3ctxq1tqvaCgkFb8cCA/edit?usp=sharing"",""หนองคาย!J374"")"),2069.08)</f>
        <v>2069.08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IFERROR(__xludf.DUMMYFUNCTION("IMPORTRANGE(""https://docs.google.com/spreadsheets/d/1XL5vhW3sbDhbH9Cz0tuDiY8C3ctxq1tqvaCgkFb8cCA/edit?usp=sharing"",""หนองคาย!I375"")"),0)</f>
        <v>0</v>
      </c>
      <c r="J480" s="189">
        <f ca="1">IFERROR(__xludf.DUMMYFUNCTION("IMPORTRANGE(""https://docs.google.com/spreadsheets/d/1XL5vhW3sbDhbH9Cz0tuDiY8C3ctxq1tqvaCgkFb8cCA/edit?usp=sharing"",""หนองคาย!J375"")"),186)</f>
        <v>186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IFERROR(__xludf.DUMMYFUNCTION("IMPORTRANGE(""https://docs.google.com/spreadsheets/d/1XL5vhW3sbDhbH9Cz0tuDiY8C3ctxq1tqvaCgkFb8cCA/edit?usp=sharing"",""หนองคาย!I376"")"),52883)</f>
        <v>52883</v>
      </c>
      <c r="J481" s="420">
        <f ca="1">IFERROR(__xludf.DUMMYFUNCTION("IMPORTRANGE(""https://docs.google.com/spreadsheets/d/1XL5vhW3sbDhbH9Cz0tuDiY8C3ctxq1tqvaCgkFb8cCA/edit?usp=sharing"",""หนองคาย!J376"")"),52883.66)</f>
        <v>52883.66</v>
      </c>
      <c r="K481" s="202">
        <f t="shared" ca="1" si="117"/>
        <v>100.00124803812189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IFERROR(__xludf.DUMMYFUNCTION("IMPORTRANGE(""https://docs.google.com/spreadsheets/d/1XL5vhW3sbDhbH9Cz0tuDiY8C3ctxq1tqvaCgkFb8cCA/edit?usp=sharing"",""หนองคาย!I377"")"),6542)</f>
        <v>6542</v>
      </c>
      <c r="J482" s="420">
        <f ca="1">IFERROR(__xludf.DUMMYFUNCTION("IMPORTRANGE(""https://docs.google.com/spreadsheets/d/1XL5vhW3sbDhbH9Cz0tuDiY8C3ctxq1tqvaCgkFb8cCA/edit?usp=sharing"",""หนองคาย!J377"")"),6542)</f>
        <v>6542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IFERROR(__xludf.DUMMYFUNCTION("IMPORTRANGE(""https://docs.google.com/spreadsheets/d/1XL5vhW3sbDhbH9Cz0tuDiY8C3ctxq1tqvaCgkFb8cCA/edit?usp=sharing"",""หนองคาย!I378"")"),0)</f>
        <v>0</v>
      </c>
      <c r="J483" s="189">
        <f ca="1">IFERROR(__xludf.DUMMYFUNCTION("IMPORTRANGE(""https://docs.google.com/spreadsheets/d/1XL5vhW3sbDhbH9Cz0tuDiY8C3ctxq1tqvaCgkFb8cCA/edit?usp=sharing"",""หนองคาย!J378"")"),37655.71)</f>
        <v>37655.71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IFERROR(__xludf.DUMMYFUNCTION("IMPORTRANGE(""https://docs.google.com/spreadsheets/d/1XL5vhW3sbDhbH9Cz0tuDiY8C3ctxq1tqvaCgkFb8cCA/edit?usp=sharing"",""หนองคาย!I379"")"),0)</f>
        <v>0</v>
      </c>
      <c r="J484" s="189">
        <f ca="1">IFERROR(__xludf.DUMMYFUNCTION("IMPORTRANGE(""https://docs.google.com/spreadsheets/d/1XL5vhW3sbDhbH9Cz0tuDiY8C3ctxq1tqvaCgkFb8cCA/edit?usp=sharing"",""หนองคาย!J379"")"),5163)</f>
        <v>5163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IFERROR(__xludf.DUMMYFUNCTION("IMPORTRANGE(""https://docs.google.com/spreadsheets/d/1XL5vhW3sbDhbH9Cz0tuDiY8C3ctxq1tqvaCgkFb8cCA/edit?usp=sharing"",""หนองคาย!I380"")"),0)</f>
        <v>0</v>
      </c>
      <c r="J485" s="189">
        <f ca="1">IFERROR(__xludf.DUMMYFUNCTION("IMPORTRANGE(""https://docs.google.com/spreadsheets/d/1XL5vhW3sbDhbH9Cz0tuDiY8C3ctxq1tqvaCgkFb8cCA/edit?usp=sharing"",""หนองคาย!J380"")"),13158.87)</f>
        <v>13158.87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IFERROR(__xludf.DUMMYFUNCTION("IMPORTRANGE(""https://docs.google.com/spreadsheets/d/1XL5vhW3sbDhbH9Cz0tuDiY8C3ctxq1tqvaCgkFb8cCA/edit?usp=sharing"",""หนองคาย!I381"")"),0)</f>
        <v>0</v>
      </c>
      <c r="J486" s="189">
        <f ca="1">IFERROR(__xludf.DUMMYFUNCTION("IMPORTRANGE(""https://docs.google.com/spreadsheets/d/1XL5vhW3sbDhbH9Cz0tuDiY8C3ctxq1tqvaCgkFb8cCA/edit?usp=sharing"",""หนองคาย!J381"")"),1193)</f>
        <v>1193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IFERROR(__xludf.DUMMYFUNCTION("IMPORTRANGE(""https://docs.google.com/spreadsheets/d/1XL5vhW3sbDhbH9Cz0tuDiY8C3ctxq1tqvaCgkFb8cCA/edit?usp=sharing"",""หนองคาย!I382"")"),0)</f>
        <v>0</v>
      </c>
      <c r="J487" s="420">
        <f ca="1">IFERROR(__xludf.DUMMYFUNCTION("IMPORTRANGE(""https://docs.google.com/spreadsheets/d/1XL5vhW3sbDhbH9Cz0tuDiY8C3ctxq1tqvaCgkFb8cCA/edit?usp=sharing"",""หนองคาย!J382"")"),2069.08)</f>
        <v>2069.08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IFERROR(__xludf.DUMMYFUNCTION("IMPORTRANGE(""https://docs.google.com/spreadsheets/d/1XL5vhW3sbDhbH9Cz0tuDiY8C3ctxq1tqvaCgkFb8cCA/edit?usp=sharing"",""หนองคาย!I383"")"),0)</f>
        <v>0</v>
      </c>
      <c r="J488" s="420">
        <f ca="1">IFERROR(__xludf.DUMMYFUNCTION("IMPORTRANGE(""https://docs.google.com/spreadsheets/d/1XL5vhW3sbDhbH9Cz0tuDiY8C3ctxq1tqvaCgkFb8cCA/edit?usp=sharing"",""หนองคาย!J383"")"),186)</f>
        <v>186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IFERROR(__xludf.DUMMYFUNCTION("IMPORTRANGE(""https://docs.google.com/spreadsheets/d/1XL5vhW3sbDhbH9Cz0tuDiY8C3ctxq1tqvaCgkFb8cCA/edit?usp=sharing"",""หนองคาย!I384"")"),0)</f>
        <v>0</v>
      </c>
      <c r="J489" s="189">
        <f ca="1">IFERROR(__xludf.DUMMYFUNCTION("IMPORTRANGE(""https://docs.google.com/spreadsheets/d/1XL5vhW3sbDhbH9Cz0tuDiY8C3ctxq1tqvaCgkFb8cCA/edit?usp=sharing"",""หนองคาย!J384"")"),1862.14)</f>
        <v>1862.14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IFERROR(__xludf.DUMMYFUNCTION("IMPORTRANGE(""https://docs.google.com/spreadsheets/d/1XL5vhW3sbDhbH9Cz0tuDiY8C3ctxq1tqvaCgkFb8cCA/edit?usp=sharing"",""หนองคาย!I385"")"),0)</f>
        <v>0</v>
      </c>
      <c r="J490" s="189">
        <f ca="1">IFERROR(__xludf.DUMMYFUNCTION("IMPORTRANGE(""https://docs.google.com/spreadsheets/d/1XL5vhW3sbDhbH9Cz0tuDiY8C3ctxq1tqvaCgkFb8cCA/edit?usp=sharing"",""หนองคาย!J385"")"),169)</f>
        <v>169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IFERROR(__xludf.DUMMYFUNCTION("IMPORTRANGE(""https://docs.google.com/spreadsheets/d/1XL5vhW3sbDhbH9Cz0tuDiY8C3ctxq1tqvaCgkFb8cCA/edit?usp=sharing"",""หนองคาย!I386"")"),0)</f>
        <v>0</v>
      </c>
      <c r="J491" s="189">
        <f ca="1">IFERROR(__xludf.DUMMYFUNCTION("IMPORTRANGE(""https://docs.google.com/spreadsheets/d/1XL5vhW3sbDhbH9Cz0tuDiY8C3ctxq1tqvaCgkFb8cCA/edit?usp=sharing"",""หนองคาย!J386"")"),206.94)</f>
        <v>206.94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IFERROR(__xludf.DUMMYFUNCTION("IMPORTRANGE(""https://docs.google.com/spreadsheets/d/1XL5vhW3sbDhbH9Cz0tuDiY8C3ctxq1tqvaCgkFb8cCA/edit?usp=sharing"",""หนองคาย!I387"")"),0)</f>
        <v>0</v>
      </c>
      <c r="J492" s="189">
        <f ca="1">IFERROR(__xludf.DUMMYFUNCTION("IMPORTRANGE(""https://docs.google.com/spreadsheets/d/1XL5vhW3sbDhbH9Cz0tuDiY8C3ctxq1tqvaCgkFb8cCA/edit?usp=sharing"",""หนองคาย!J387"")"),17)</f>
        <v>17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IFERROR(__xludf.DUMMYFUNCTION("IMPORTRANGE(""https://docs.google.com/spreadsheets/d/1XL5vhW3sbDhbH9Cz0tuDiY8C3ctxq1tqvaCgkFb8cCA/edit?usp=sharing"",""หนองคาย!I388"")"),0)</f>
        <v>0</v>
      </c>
      <c r="J493" s="189">
        <f ca="1">IFERROR(__xludf.DUMMYFUNCTION("IMPORTRANGE(""https://docs.google.com/spreadsheets/d/1XL5vhW3sbDhbH9Cz0tuDiY8C3ctxq1tqvaCgkFb8cCA/edit?usp=sharing"",""หนองคาย!J388"")"),0)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IFERROR(__xludf.DUMMYFUNCTION("IMPORTRANGE(""https://docs.google.com/spreadsheets/d/1XL5vhW3sbDhbH9Cz0tuDiY8C3ctxq1tqvaCgkFb8cCA/edit?usp=sharing"",""หนองคาย!I389"")"),0)</f>
        <v>0</v>
      </c>
      <c r="J494" s="436">
        <f ca="1">IFERROR(__xludf.DUMMYFUNCTION("IMPORTRANGE(""https://docs.google.com/spreadsheets/d/1XL5vhW3sbDhbH9Cz0tuDiY8C3ctxq1tqvaCgkFb8cCA/edit?usp=sharing"",""หนองคาย!J389"")"),0)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IFERROR(__xludf.DUMMYFUNCTION("IMPORTRANGE(""https://docs.google.com/spreadsheets/d/1XL5vhW3sbDhbH9Cz0tuDiY8C3ctxq1tqvaCgkFb8cCA/edit?usp=sharing"",""หนองคาย!I390"")"),0)</f>
        <v>0</v>
      </c>
      <c r="J495" s="436">
        <f ca="1">IFERROR(__xludf.DUMMYFUNCTION("IMPORTRANGE(""https://docs.google.com/spreadsheets/d/1XL5vhW3sbDhbH9Cz0tuDiY8C3ctxq1tqvaCgkFb8cCA/edit?usp=sharing"",""หนองคาย!J390"")"),0)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IFERROR(__xludf.DUMMYFUNCTION("IMPORTRANGE(""https://docs.google.com/spreadsheets/d/1XL5vhW3sbDhbH9Cz0tuDiY8C3ctxq1tqvaCgkFb8cCA/edit?usp=sharing"",""หนองคาย!I391"")"),0)</f>
        <v>0</v>
      </c>
      <c r="J496" s="436">
        <f ca="1">IFERROR(__xludf.DUMMYFUNCTION("IMPORTRANGE(""https://docs.google.com/spreadsheets/d/1XL5vhW3sbDhbH9Cz0tuDiY8C3ctxq1tqvaCgkFb8cCA/edit?usp=sharing"",""หนองคาย!J391"")"),0)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IFERROR(__xludf.DUMMYFUNCTION("IMPORTRANGE(""https://docs.google.com/spreadsheets/d/1XL5vhW3sbDhbH9Cz0tuDiY8C3ctxq1tqvaCgkFb8cCA/edit?usp=sharing"",""หนองคาย!I392"")"),10700)</f>
        <v>10700</v>
      </c>
      <c r="J497" s="443">
        <f ca="1">IFERROR(__xludf.DUMMYFUNCTION("IMPORTRANGE(""https://docs.google.com/spreadsheets/d/1XL5vhW3sbDhbH9Cz0tuDiY8C3ctxq1tqvaCgkFb8cCA/edit?usp=sharing"",""หนองคาย!J392"")"),0)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IFERROR(__xludf.DUMMYFUNCTION("IMPORTRANGE(""https://docs.google.com/spreadsheets/d/1XL5vhW3sbDhbH9Cz0tuDiY8C3ctxq1tqvaCgkFb8cCA/edit?usp=sharing"",""หนองคาย!I393"")"),10700)</f>
        <v>10700</v>
      </c>
      <c r="J498" s="420">
        <f ca="1">IFERROR(__xludf.DUMMYFUNCTION("IMPORTRANGE(""https://docs.google.com/spreadsheets/d/1XL5vhW3sbDhbH9Cz0tuDiY8C3ctxq1tqvaCgkFb8cCA/edit?usp=sharing"",""หนองคาย!J393"")"),0)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IFERROR(__xludf.DUMMYFUNCTION("IMPORTRANGE(""https://docs.google.com/spreadsheets/d/1XL5vhW3sbDhbH9Cz0tuDiY8C3ctxq1tqvaCgkFb8cCA/edit?usp=sharing"",""หนองคาย!I394"")"),892)</f>
        <v>892</v>
      </c>
      <c r="J499" s="420">
        <f ca="1">IFERROR(__xludf.DUMMYFUNCTION("IMPORTRANGE(""https://docs.google.com/spreadsheets/d/1XL5vhW3sbDhbH9Cz0tuDiY8C3ctxq1tqvaCgkFb8cCA/edit?usp=sharing"",""หนองคาย!J394"")"),0)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IFERROR(__xludf.DUMMYFUNCTION("IMPORTRANGE(""https://docs.google.com/spreadsheets/d/1XL5vhW3sbDhbH9Cz0tuDiY8C3ctxq1tqvaCgkFb8cCA/edit?usp=sharing"",""หนองคาย!I395"")"),0)</f>
        <v>0</v>
      </c>
      <c r="J500" s="162">
        <f ca="1">IFERROR(__xludf.DUMMYFUNCTION("IMPORTRANGE(""https://docs.google.com/spreadsheets/d/1XL5vhW3sbDhbH9Cz0tuDiY8C3ctxq1tqvaCgkFb8cCA/edit?usp=sharing"",""หนองคาย!J395"")"),0)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IFERROR(__xludf.DUMMYFUNCTION("IMPORTRANGE(""https://docs.google.com/spreadsheets/d/1XL5vhW3sbDhbH9Cz0tuDiY8C3ctxq1tqvaCgkFb8cCA/edit?usp=sharing"",""หนองคาย!I396"")"),0)</f>
        <v>0</v>
      </c>
      <c r="J501" s="162">
        <f ca="1">IFERROR(__xludf.DUMMYFUNCTION("IMPORTRANGE(""https://docs.google.com/spreadsheets/d/1XL5vhW3sbDhbH9Cz0tuDiY8C3ctxq1tqvaCgkFb8cCA/edit?usp=sharing"",""หนองคาย!J396"")"),0)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IFERROR(__xludf.DUMMYFUNCTION("IMPORTRANGE(""https://docs.google.com/spreadsheets/d/1XL5vhW3sbDhbH9Cz0tuDiY8C3ctxq1tqvaCgkFb8cCA/edit?usp=sharing"",""หนองคาย!I397"")"),0)</f>
        <v>0</v>
      </c>
      <c r="J502" s="189">
        <f ca="1">IFERROR(__xludf.DUMMYFUNCTION("IMPORTRANGE(""https://docs.google.com/spreadsheets/d/1XL5vhW3sbDhbH9Cz0tuDiY8C3ctxq1tqvaCgkFb8cCA/edit?usp=sharing"",""หนองคาย!J397"")"),0)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IFERROR(__xludf.DUMMYFUNCTION("IMPORTRANGE(""https://docs.google.com/spreadsheets/d/1XL5vhW3sbDhbH9Cz0tuDiY8C3ctxq1tqvaCgkFb8cCA/edit?usp=sharing"",""หนองคาย!I398"")"),0)</f>
        <v>0</v>
      </c>
      <c r="J503" s="198">
        <f ca="1">IFERROR(__xludf.DUMMYFUNCTION("IMPORTRANGE(""https://docs.google.com/spreadsheets/d/1XL5vhW3sbDhbH9Cz0tuDiY8C3ctxq1tqvaCgkFb8cCA/edit?usp=sharing"",""หนองคาย!J398"")"),0)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IFERROR(__xludf.DUMMYFUNCTION("IMPORTRANGE(""https://docs.google.com/spreadsheets/d/1XL5vhW3sbDhbH9Cz0tuDiY8C3ctxq1tqvaCgkFb8cCA/edit?usp=sharing"",""หนองคาย!I399"")"),0)</f>
        <v>0</v>
      </c>
      <c r="J504" s="189">
        <f ca="1">IFERROR(__xludf.DUMMYFUNCTION("IMPORTRANGE(""https://docs.google.com/spreadsheets/d/1XL5vhW3sbDhbH9Cz0tuDiY8C3ctxq1tqvaCgkFb8cCA/edit?usp=sharing"",""หนองคาย!J399"")"),0)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IFERROR(__xludf.DUMMYFUNCTION("IMPORTRANGE(""https://docs.google.com/spreadsheets/d/1XL5vhW3sbDhbH9Cz0tuDiY8C3ctxq1tqvaCgkFb8cCA/edit?usp=sharing"",""หนองคาย!I400"")"),0)</f>
        <v>0</v>
      </c>
      <c r="J505" s="198">
        <f ca="1">IFERROR(__xludf.DUMMYFUNCTION("IMPORTRANGE(""https://docs.google.com/spreadsheets/d/1XL5vhW3sbDhbH9Cz0tuDiY8C3ctxq1tqvaCgkFb8cCA/edit?usp=sharing"",""หนองคาย!J400"")"),0)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IFERROR(__xludf.DUMMYFUNCTION("IMPORTRANGE(""https://docs.google.com/spreadsheets/d/1XL5vhW3sbDhbH9Cz0tuDiY8C3ctxq1tqvaCgkFb8cCA/edit?usp=sharing"",""หนองคาย!I401"")"),0)</f>
        <v>0</v>
      </c>
      <c r="J506" s="189">
        <f ca="1">IFERROR(__xludf.DUMMYFUNCTION("IMPORTRANGE(""https://docs.google.com/spreadsheets/d/1XL5vhW3sbDhbH9Cz0tuDiY8C3ctxq1tqvaCgkFb8cCA/edit?usp=sharing"",""หนองคาย!J401"")"),0)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IFERROR(__xludf.DUMMYFUNCTION("IMPORTRANGE(""https://docs.google.com/spreadsheets/d/1XL5vhW3sbDhbH9Cz0tuDiY8C3ctxq1tqvaCgkFb8cCA/edit?usp=sharing"",""หนองคาย!I402"")"),0)</f>
        <v>0</v>
      </c>
      <c r="J507" s="198">
        <f ca="1">IFERROR(__xludf.DUMMYFUNCTION("IMPORTRANGE(""https://docs.google.com/spreadsheets/d/1XL5vhW3sbDhbH9Cz0tuDiY8C3ctxq1tqvaCgkFb8cCA/edit?usp=sharing"",""หนองคาย!J402"")"),0)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IFERROR(__xludf.DUMMYFUNCTION("IMPORTRANGE(""https://docs.google.com/spreadsheets/d/1XL5vhW3sbDhbH9Cz0tuDiY8C3ctxq1tqvaCgkFb8cCA/edit?usp=sharing"",""หนองคาย!I403"")"),0)</f>
        <v>0</v>
      </c>
      <c r="J508" s="162">
        <f ca="1">IFERROR(__xludf.DUMMYFUNCTION("IMPORTRANGE(""https://docs.google.com/spreadsheets/d/1XL5vhW3sbDhbH9Cz0tuDiY8C3ctxq1tqvaCgkFb8cCA/edit?usp=sharing"",""หนองคาย!J403"")"),0)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IFERROR(__xludf.DUMMYFUNCTION("IMPORTRANGE(""https://docs.google.com/spreadsheets/d/1XL5vhW3sbDhbH9Cz0tuDiY8C3ctxq1tqvaCgkFb8cCA/edit?usp=sharing"",""หนองคาย!I404"")"),0)</f>
        <v>0</v>
      </c>
      <c r="J509" s="162">
        <f ca="1">IFERROR(__xludf.DUMMYFUNCTION("IMPORTRANGE(""https://docs.google.com/spreadsheets/d/1XL5vhW3sbDhbH9Cz0tuDiY8C3ctxq1tqvaCgkFb8cCA/edit?usp=sharing"",""หนองคาย!J404"")"),0)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IFERROR(__xludf.DUMMYFUNCTION("IMPORTRANGE(""https://docs.google.com/spreadsheets/d/1XL5vhW3sbDhbH9Cz0tuDiY8C3ctxq1tqvaCgkFb8cCA/edit?usp=sharing"",""หนองคาย!I405"")"),0)</f>
        <v>0</v>
      </c>
      <c r="J510" s="198">
        <f ca="1">IFERROR(__xludf.DUMMYFUNCTION("IMPORTRANGE(""https://docs.google.com/spreadsheets/d/1XL5vhW3sbDhbH9Cz0tuDiY8C3ctxq1tqvaCgkFb8cCA/edit?usp=sharing"",""หนองคาย!J405"")"),0)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IFERROR(__xludf.DUMMYFUNCTION("IMPORTRANGE(""https://docs.google.com/spreadsheets/d/1XL5vhW3sbDhbH9Cz0tuDiY8C3ctxq1tqvaCgkFb8cCA/edit?usp=sharing"",""หนองคาย!I406"")"),0)</f>
        <v>0</v>
      </c>
      <c r="J511" s="198">
        <f ca="1">IFERROR(__xludf.DUMMYFUNCTION("IMPORTRANGE(""https://docs.google.com/spreadsheets/d/1XL5vhW3sbDhbH9Cz0tuDiY8C3ctxq1tqvaCgkFb8cCA/edit?usp=sharing"",""หนองคาย!J406"")"),0)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IFERROR(__xludf.DUMMYFUNCTION("IMPORTRANGE(""https://docs.google.com/spreadsheets/d/1XL5vhW3sbDhbH9Cz0tuDiY8C3ctxq1tqvaCgkFb8cCA/edit?usp=sharing"",""หนองคาย!I407"")"),0)</f>
        <v>0</v>
      </c>
      <c r="J512" s="198">
        <f ca="1">IFERROR(__xludf.DUMMYFUNCTION("IMPORTRANGE(""https://docs.google.com/spreadsheets/d/1XL5vhW3sbDhbH9Cz0tuDiY8C3ctxq1tqvaCgkFb8cCA/edit?usp=sharing"",""หนองคาย!J407"")"),0)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IFERROR(__xludf.DUMMYFUNCTION("IMPORTRANGE(""https://docs.google.com/spreadsheets/d/1XL5vhW3sbDhbH9Cz0tuDiY8C3ctxq1tqvaCgkFb8cCA/edit?usp=sharing"",""หนองคาย!I408"")"),0)</f>
        <v>0</v>
      </c>
      <c r="J513" s="198">
        <f ca="1">IFERROR(__xludf.DUMMYFUNCTION("IMPORTRANGE(""https://docs.google.com/spreadsheets/d/1XL5vhW3sbDhbH9Cz0tuDiY8C3ctxq1tqvaCgkFb8cCA/edit?usp=sharing"",""หนองคาย!J408"")"),0)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IFERROR(__xludf.DUMMYFUNCTION("IMPORTRANGE(""https://docs.google.com/spreadsheets/d/1XL5vhW3sbDhbH9Cz0tuDiY8C3ctxq1tqvaCgkFb8cCA/edit?usp=sharing"",""หนองคาย!I409"")"),0)</f>
        <v>0</v>
      </c>
      <c r="J514" s="198">
        <f ca="1">IFERROR(__xludf.DUMMYFUNCTION("IMPORTRANGE(""https://docs.google.com/spreadsheets/d/1XL5vhW3sbDhbH9Cz0tuDiY8C3ctxq1tqvaCgkFb8cCA/edit?usp=sharing"",""หนองคาย!J409"")"),0)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IFERROR(__xludf.DUMMYFUNCTION("IMPORTRANGE(""https://docs.google.com/spreadsheets/d/1XL5vhW3sbDhbH9Cz0tuDiY8C3ctxq1tqvaCgkFb8cCA/edit?usp=sharing"",""หนองคาย!I410"")"),0)</f>
        <v>0</v>
      </c>
      <c r="J515" s="198">
        <f ca="1">IFERROR(__xludf.DUMMYFUNCTION("IMPORTRANGE(""https://docs.google.com/spreadsheets/d/1XL5vhW3sbDhbH9Cz0tuDiY8C3ctxq1tqvaCgkFb8cCA/edit?usp=sharing"",""หนองคาย!J410"")"),0)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IFERROR(__xludf.DUMMYFUNCTION("IMPORTRANGE(""https://docs.google.com/spreadsheets/d/1XL5vhW3sbDhbH9Cz0tuDiY8C3ctxq1tqvaCgkFb8cCA/edit?usp=sharing"",""หนองคาย!I411"")"),0)</f>
        <v>0</v>
      </c>
      <c r="J516" s="267">
        <f ca="1">IFERROR(__xludf.DUMMYFUNCTION("IMPORTRANGE(""https://docs.google.com/spreadsheets/d/1XL5vhW3sbDhbH9Cz0tuDiY8C3ctxq1tqvaCgkFb8cCA/edit?usp=sharing"",""หนองคาย!J411"")"),0)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IFERROR(__xludf.DUMMYFUNCTION("IMPORTRANGE(""https://docs.google.com/spreadsheets/d/1XL5vhW3sbDhbH9Cz0tuDiY8C3ctxq1tqvaCgkFb8cCA/edit?usp=sharing"",""หนองคาย!I412"")"),0)</f>
        <v>0</v>
      </c>
      <c r="J517" s="284">
        <f ca="1">IFERROR(__xludf.DUMMYFUNCTION("IMPORTRANGE(""https://docs.google.com/spreadsheets/d/1XL5vhW3sbDhbH9Cz0tuDiY8C3ctxq1tqvaCgkFb8cCA/edit?usp=sharing"",""หนองคาย!J412"")"),0)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IFERROR(__xludf.DUMMYFUNCTION("IMPORTRANGE(""https://docs.google.com/spreadsheets/d/1XL5vhW3sbDhbH9Cz0tuDiY8C3ctxq1tqvaCgkFb8cCA/edit?usp=sharing"",""หนองคาย!I413"")"),0)</f>
        <v>0</v>
      </c>
      <c r="J518" s="284">
        <f ca="1">IFERROR(__xludf.DUMMYFUNCTION("IMPORTRANGE(""https://docs.google.com/spreadsheets/d/1XL5vhW3sbDhbH9Cz0tuDiY8C3ctxq1tqvaCgkFb8cCA/edit?usp=sharing"",""หนองคาย!J413"")"),0)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IFERROR(__xludf.DUMMYFUNCTION("IMPORTRANGE(""https://docs.google.com/spreadsheets/d/1XL5vhW3sbDhbH9Cz0tuDiY8C3ctxq1tqvaCgkFb8cCA/edit?usp=sharing"",""หนองคาย!I414"")"),0)</f>
        <v>0</v>
      </c>
      <c r="J519" s="188">
        <f ca="1">IFERROR(__xludf.DUMMYFUNCTION("IMPORTRANGE(""https://docs.google.com/spreadsheets/d/1XL5vhW3sbDhbH9Cz0tuDiY8C3ctxq1tqvaCgkFb8cCA/edit?usp=sharing"",""หนองคาย!J414"")"),0)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IFERROR(__xludf.DUMMYFUNCTION("IMPORTRANGE(""https://docs.google.com/spreadsheets/d/1XL5vhW3sbDhbH9Cz0tuDiY8C3ctxq1tqvaCgkFb8cCA/edit?usp=sharing"",""หนองคาย!I415"")"),0)</f>
        <v>0</v>
      </c>
      <c r="J520" s="188">
        <f ca="1">IFERROR(__xludf.DUMMYFUNCTION("IMPORTRANGE(""https://docs.google.com/spreadsheets/d/1XL5vhW3sbDhbH9Cz0tuDiY8C3ctxq1tqvaCgkFb8cCA/edit?usp=sharing"",""หนองคาย!J415"")"),0)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IFERROR(__xludf.DUMMYFUNCTION("IMPORTRANGE(""https://docs.google.com/spreadsheets/d/1XL5vhW3sbDhbH9Cz0tuDiY8C3ctxq1tqvaCgkFb8cCA/edit?usp=sharing"",""หนองคาย!I416"")"),0)</f>
        <v>0</v>
      </c>
      <c r="J521" s="188">
        <f ca="1">IFERROR(__xludf.DUMMYFUNCTION("IMPORTRANGE(""https://docs.google.com/spreadsheets/d/1XL5vhW3sbDhbH9Cz0tuDiY8C3ctxq1tqvaCgkFb8cCA/edit?usp=sharing"",""หนองคาย!J416"")"),0)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IFERROR(__xludf.DUMMYFUNCTION("IMPORTRANGE(""https://docs.google.com/spreadsheets/d/1XL5vhW3sbDhbH9Cz0tuDiY8C3ctxq1tqvaCgkFb8cCA/edit?usp=sharing"",""หนองคาย!I417"")"),0)</f>
        <v>0</v>
      </c>
      <c r="J522" s="188">
        <f ca="1">IFERROR(__xludf.DUMMYFUNCTION("IMPORTRANGE(""https://docs.google.com/spreadsheets/d/1XL5vhW3sbDhbH9Cz0tuDiY8C3ctxq1tqvaCgkFb8cCA/edit?usp=sharing"",""หนองคาย!J417"")"),0)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IFERROR(__xludf.DUMMYFUNCTION("IMPORTRANGE(""https://docs.google.com/spreadsheets/d/1XL5vhW3sbDhbH9Cz0tuDiY8C3ctxq1tqvaCgkFb8cCA/edit?usp=sharing"",""หนองคาย!I418"")"),0)</f>
        <v>0</v>
      </c>
      <c r="J523" s="188">
        <f ca="1">IFERROR(__xludf.DUMMYFUNCTION("IMPORTRANGE(""https://docs.google.com/spreadsheets/d/1XL5vhW3sbDhbH9Cz0tuDiY8C3ctxq1tqvaCgkFb8cCA/edit?usp=sharing"",""หนองคาย!J418"")"),0)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IFERROR(__xludf.DUMMYFUNCTION("IMPORTRANGE(""https://docs.google.com/spreadsheets/d/1XL5vhW3sbDhbH9Cz0tuDiY8C3ctxq1tqvaCgkFb8cCA/edit?usp=sharing"",""หนองคาย!I419"")"),0)</f>
        <v>0</v>
      </c>
      <c r="J524" s="188">
        <f ca="1">IFERROR(__xludf.DUMMYFUNCTION("IMPORTRANGE(""https://docs.google.com/spreadsheets/d/1XL5vhW3sbDhbH9Cz0tuDiY8C3ctxq1tqvaCgkFb8cCA/edit?usp=sharing"",""หนองคาย!J419"")"),0)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IFERROR(__xludf.DUMMYFUNCTION("IMPORTRANGE(""https://docs.google.com/spreadsheets/d/1XL5vhW3sbDhbH9Cz0tuDiY8C3ctxq1tqvaCgkFb8cCA/edit?usp=sharing"",""หนองคาย!I420"")"),0)</f>
        <v>0</v>
      </c>
      <c r="J525" s="284">
        <f ca="1">IFERROR(__xludf.DUMMYFUNCTION("IMPORTRANGE(""https://docs.google.com/spreadsheets/d/1XL5vhW3sbDhbH9Cz0tuDiY8C3ctxq1tqvaCgkFb8cCA/edit?usp=sharing"",""หนองคาย!J420"")"),0)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IFERROR(__xludf.DUMMYFUNCTION("IMPORTRANGE(""https://docs.google.com/spreadsheets/d/1XL5vhW3sbDhbH9Cz0tuDiY8C3ctxq1tqvaCgkFb8cCA/edit?usp=sharing"",""หนองคาย!I421"")"),0)</f>
        <v>0</v>
      </c>
      <c r="J526" s="284">
        <f ca="1">IFERROR(__xludf.DUMMYFUNCTION("IMPORTRANGE(""https://docs.google.com/spreadsheets/d/1XL5vhW3sbDhbH9Cz0tuDiY8C3ctxq1tqvaCgkFb8cCA/edit?usp=sharing"",""หนองคาย!J421"")"),0)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IFERROR(__xludf.DUMMYFUNCTION("IMPORTRANGE(""https://docs.google.com/spreadsheets/d/1XL5vhW3sbDhbH9Cz0tuDiY8C3ctxq1tqvaCgkFb8cCA/edit?usp=sharing"",""หนองคาย!I422"")"),0)</f>
        <v>0</v>
      </c>
      <c r="J527" s="198">
        <f ca="1">IFERROR(__xludf.DUMMYFUNCTION("IMPORTRANGE(""https://docs.google.com/spreadsheets/d/1XL5vhW3sbDhbH9Cz0tuDiY8C3ctxq1tqvaCgkFb8cCA/edit?usp=sharing"",""หนองคาย!J422"")"),0)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IFERROR(__xludf.DUMMYFUNCTION("IMPORTRANGE(""https://docs.google.com/spreadsheets/d/1XL5vhW3sbDhbH9Cz0tuDiY8C3ctxq1tqvaCgkFb8cCA/edit?usp=sharing"",""หนองคาย!I423"")"),0)</f>
        <v>0</v>
      </c>
      <c r="J528" s="198">
        <f ca="1">IFERROR(__xludf.DUMMYFUNCTION("IMPORTRANGE(""https://docs.google.com/spreadsheets/d/1XL5vhW3sbDhbH9Cz0tuDiY8C3ctxq1tqvaCgkFb8cCA/edit?usp=sharing"",""หนองคาย!J423"")"),0)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IFERROR(__xludf.DUMMYFUNCTION("IMPORTRANGE(""https://docs.google.com/spreadsheets/d/1XL5vhW3sbDhbH9Cz0tuDiY8C3ctxq1tqvaCgkFb8cCA/edit?usp=sharing"",""หนองคาย!I424"")"),0)</f>
        <v>0</v>
      </c>
      <c r="J529" s="198">
        <f ca="1">IFERROR(__xludf.DUMMYFUNCTION("IMPORTRANGE(""https://docs.google.com/spreadsheets/d/1XL5vhW3sbDhbH9Cz0tuDiY8C3ctxq1tqvaCgkFb8cCA/edit?usp=sharing"",""หนองคาย!J424"")"),0)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IFERROR(__xludf.DUMMYFUNCTION("IMPORTRANGE(""https://docs.google.com/spreadsheets/d/1XL5vhW3sbDhbH9Cz0tuDiY8C3ctxq1tqvaCgkFb8cCA/edit?usp=sharing"",""หนองคาย!I425"")"),0)</f>
        <v>0</v>
      </c>
      <c r="J530" s="198">
        <f ca="1">IFERROR(__xludf.DUMMYFUNCTION("IMPORTRANGE(""https://docs.google.com/spreadsheets/d/1XL5vhW3sbDhbH9Cz0tuDiY8C3ctxq1tqvaCgkFb8cCA/edit?usp=sharing"",""หนองคาย!J425"")"),0)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IFERROR(__xludf.DUMMYFUNCTION("IMPORTRANGE(""https://docs.google.com/spreadsheets/d/1XL5vhW3sbDhbH9Cz0tuDiY8C3ctxq1tqvaCgkFb8cCA/edit?usp=sharing"",""หนองคาย!I426"")"),0)</f>
        <v>0</v>
      </c>
      <c r="J531" s="198">
        <f ca="1">IFERROR(__xludf.DUMMYFUNCTION("IMPORTRANGE(""https://docs.google.com/spreadsheets/d/1XL5vhW3sbDhbH9Cz0tuDiY8C3ctxq1tqvaCgkFb8cCA/edit?usp=sharing"",""หนองคาย!J426"")"),0)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IFERROR(__xludf.DUMMYFUNCTION("IMPORTRANGE(""https://docs.google.com/spreadsheets/d/1XL5vhW3sbDhbH9Cz0tuDiY8C3ctxq1tqvaCgkFb8cCA/edit?usp=sharing"",""หนองคาย!I427"")"),0)</f>
        <v>0</v>
      </c>
      <c r="J532" s="466">
        <f ca="1">IFERROR(__xludf.DUMMYFUNCTION("IMPORTRANGE(""https://docs.google.com/spreadsheets/d/1XL5vhW3sbDhbH9Cz0tuDiY8C3ctxq1tqvaCgkFb8cCA/edit?usp=sharing"",""หนองคาย!J427"")"),0)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IFERROR(__xludf.DUMMYFUNCTION("IMPORTRANGE(""https://docs.google.com/spreadsheets/d/1XL5vhW3sbDhbH9Cz0tuDiY8C3ctxq1tqvaCgkFb8cCA/edit?usp=sharing"",""หนองคาย!I428"")"),22)</f>
        <v>22</v>
      </c>
      <c r="J533" s="410">
        <f ca="1">IFERROR(__xludf.DUMMYFUNCTION("IMPORTRANGE(""https://docs.google.com/spreadsheets/d/1XL5vhW3sbDhbH9Cz0tuDiY8C3ctxq1tqvaCgkFb8cCA/edit?usp=sharing"",""หนองคาย!J428"")"),22)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IFERROR(__xludf.DUMMYFUNCTION("IMPORTRANGE(""https://docs.google.com/spreadsheets/d/1XL5vhW3sbDhbH9Cz0tuDiY8C3ctxq1tqvaCgkFb8cCA/edit?usp=sharing"",""หนองคาย!L428"")"),34340)</f>
        <v>34340</v>
      </c>
      <c r="M533" s="412"/>
      <c r="N533" s="412">
        <f ca="1">IFERROR(__xludf.DUMMYFUNCTION("IMPORTRANGE(""https://docs.google.com/spreadsheets/d/1XL5vhW3sbDhbH9Cz0tuDiY8C3ctxq1tqvaCgkFb8cCA/edit?usp=sharing"",""หนองคาย!M428"")"),27980)</f>
        <v>27980</v>
      </c>
      <c r="O533" s="412">
        <f t="shared" ref="O533:O537" ca="1" si="118">+IF(L533&gt;0,N533*100/L533,0)</f>
        <v>81.479324403028542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IFERROR(__xludf.DUMMYFUNCTION("IMPORTRANGE(""https://docs.google.com/spreadsheets/d/1XL5vhW3sbDhbH9Cz0tuDiY8C3ctxq1tqvaCgkFb8cCA/edit?usp=sharing"",""หนองคาย!L429"")"),0)</f>
        <v>0</v>
      </c>
      <c r="M534" s="164"/>
      <c r="N534" s="169">
        <f ca="1">IFERROR(__xludf.DUMMYFUNCTION("IMPORTRANGE(""https://docs.google.com/spreadsheets/d/1XL5vhW3sbDhbH9Cz0tuDiY8C3ctxq1tqvaCgkFb8cCA/edit?usp=sharing"",""หนองคาย!M429"")"),0)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IFERROR(__xludf.DUMMYFUNCTION("IMPORTRANGE(""https://docs.google.com/spreadsheets/d/1XL5vhW3sbDhbH9Cz0tuDiY8C3ctxq1tqvaCgkFb8cCA/edit?usp=sharing"",""หนองคาย!L430"")"),34340)</f>
        <v>34340</v>
      </c>
      <c r="M535" s="165"/>
      <c r="N535" s="169">
        <f ca="1">IFERROR(__xludf.DUMMYFUNCTION("IMPORTRANGE(""https://docs.google.com/spreadsheets/d/1XL5vhW3sbDhbH9Cz0tuDiY8C3ctxq1tqvaCgkFb8cCA/edit?usp=sharing"",""หนองคาย!M430"")"),27980)</f>
        <v>27980</v>
      </c>
      <c r="O535" s="169">
        <f t="shared" ca="1" si="118"/>
        <v>81.479324403028542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IFERROR(__xludf.DUMMYFUNCTION("IMPORTRANGE(""https://docs.google.com/spreadsheets/d/1XL5vhW3sbDhbH9Cz0tuDiY8C3ctxq1tqvaCgkFb8cCA/edit?usp=sharing"",""หนองคาย!L431"")"),0)</f>
        <v>0</v>
      </c>
      <c r="M536" s="169"/>
      <c r="N536" s="169">
        <f ca="1">IFERROR(__xludf.DUMMYFUNCTION("IMPORTRANGE(""https://docs.google.com/spreadsheets/d/1XL5vhW3sbDhbH9Cz0tuDiY8C3ctxq1tqvaCgkFb8cCA/edit?usp=sharing"",""หนองคาย!M431"")"),0)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IFERROR(__xludf.DUMMYFUNCTION("IMPORTRANGE(""https://docs.google.com/spreadsheets/d/1XL5vhW3sbDhbH9Cz0tuDiY8C3ctxq1tqvaCgkFb8cCA/edit?usp=sharing"",""หนองคาย!L432"")"),34340)</f>
        <v>34340</v>
      </c>
      <c r="M537" s="169"/>
      <c r="N537" s="169">
        <f ca="1">IFERROR(__xludf.DUMMYFUNCTION("IMPORTRANGE(""https://docs.google.com/spreadsheets/d/1XL5vhW3sbDhbH9Cz0tuDiY8C3ctxq1tqvaCgkFb8cCA/edit?usp=sharing"",""หนองคาย!M432"")"),27980)</f>
        <v>27980</v>
      </c>
      <c r="O537" s="169">
        <f t="shared" ca="1" si="118"/>
        <v>81.479324403028542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IFERROR(__xludf.DUMMYFUNCTION("IMPORTRANGE(""https://docs.google.com/spreadsheets/d/1XL5vhW3sbDhbH9Cz0tuDiY8C3ctxq1tqvaCgkFb8cCA/edit?usp=sharing"",""หนองคาย!M433"")"),18740)</f>
        <v>18740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IFERROR(__xludf.DUMMYFUNCTION("IMPORTRANGE(""https://docs.google.com/spreadsheets/d/1XL5vhW3sbDhbH9Cz0tuDiY8C3ctxq1tqvaCgkFb8cCA/edit?usp=sharing"",""หนองคาย!M434"")"),0)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IFERROR(__xludf.DUMMYFUNCTION("IMPORTRANGE(""https://docs.google.com/spreadsheets/d/1XL5vhW3sbDhbH9Cz0tuDiY8C3ctxq1tqvaCgkFb8cCA/edit?usp=sharing"",""หนองคาย!M435"")"),0)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IFERROR(__xludf.DUMMYFUNCTION("IMPORTRANGE(""https://docs.google.com/spreadsheets/d/1XL5vhW3sbDhbH9Cz0tuDiY8C3ctxq1tqvaCgkFb8cCA/edit?usp=sharing"",""หนองคาย!M436"")"),9240)</f>
        <v>9240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IFERROR(__xludf.DUMMYFUNCTION("IMPORTRANGE(""https://docs.google.com/spreadsheets/d/1XL5vhW3sbDhbH9Cz0tuDiY8C3ctxq1tqvaCgkFb8cCA/edit?usp=sharing"",""หนองคาย!J438"")"),0)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IFERROR(__xludf.DUMMYFUNCTION("IMPORTRANGE(""https://docs.google.com/spreadsheets/d/1XL5vhW3sbDhbH9Cz0tuDiY8C3ctxq1tqvaCgkFb8cCA/edit?usp=sharing"",""หนองคาย!J439"")"),1)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IFERROR(__xludf.DUMMYFUNCTION("IMPORTRANGE(""https://docs.google.com/spreadsheets/d/1XL5vhW3sbDhbH9Cz0tuDiY8C3ctxq1tqvaCgkFb8cCA/edit?usp=sharing"",""หนองคาย!J440"")"),1)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IFERROR(__xludf.DUMMYFUNCTION("IMPORTRANGE(""https://docs.google.com/spreadsheets/d/1XL5vhW3sbDhbH9Cz0tuDiY8C3ctxq1tqvaCgkFb8cCA/edit?usp=sharing"",""หนองคาย!J441"")"),1)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IFERROR(__xludf.DUMMYFUNCTION("IMPORTRANGE(""https://docs.google.com/spreadsheets/d/1XL5vhW3sbDhbH9Cz0tuDiY8C3ctxq1tqvaCgkFb8cCA/edit?usp=sharing"",""หนองคาย!I442"")"),22)</f>
        <v>22</v>
      </c>
      <c r="J547" s="189">
        <f ca="1">IFERROR(__xludf.DUMMYFUNCTION("IMPORTRANGE(""https://docs.google.com/spreadsheets/d/1XL5vhW3sbDhbH9Cz0tuDiY8C3ctxq1tqvaCgkFb8cCA/edit?usp=sharing"",""หนองคาย!J442"")"),22)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IFERROR(__xludf.DUMMYFUNCTION("IMPORTRANGE(""https://docs.google.com/spreadsheets/d/1XL5vhW3sbDhbH9Cz0tuDiY8C3ctxq1tqvaCgkFb8cCA/edit?usp=sharing"",""หนองคาย!J166"")"),0)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IFERROR(__xludf.DUMMYFUNCTION("IMPORTRANGE(""https://docs.google.com/spreadsheets/d/1XL5vhW3sbDhbH9Cz0tuDiY8C3ctxq1tqvaCgkFb8cCA/edit?usp=sharing"",""หนองคาย!J444"")"),0)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IFERROR(__xludf.DUMMYFUNCTION("IMPORTRANGE(""https://docs.google.com/spreadsheets/d/1XL5vhW3sbDhbH9Cz0tuDiY8C3ctxq1tqvaCgkFb8cCA/edit?usp=sharing"",""หนองคาย!J445"")"),0)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IFERROR(__xludf.DUMMYFUNCTION("IMPORTRANGE(""https://docs.google.com/spreadsheets/d/1XL5vhW3sbDhbH9Cz0tuDiY8C3ctxq1tqvaCgkFb8cCA/edit?usp=sharing"",""หนองคาย!I446"")"),0)</f>
        <v>0</v>
      </c>
      <c r="J551" s="410">
        <f ca="1">IFERROR(__xludf.DUMMYFUNCTION("IMPORTRANGE(""https://docs.google.com/spreadsheets/d/1XL5vhW3sbDhbH9Cz0tuDiY8C3ctxq1tqvaCgkFb8cCA/edit?usp=sharing"",""หนองคาย!J446"")"),0)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IFERROR(__xludf.DUMMYFUNCTION("IMPORTRANGE(""https://docs.google.com/spreadsheets/d/1XL5vhW3sbDhbH9Cz0tuDiY8C3ctxq1tqvaCgkFb8cCA/edit?usp=sharing"",""หนองคาย!L446"")"),0)</f>
        <v>0</v>
      </c>
      <c r="M551" s="412"/>
      <c r="N551" s="412">
        <f ca="1">IFERROR(__xludf.DUMMYFUNCTION("IMPORTRANGE(""https://docs.google.com/spreadsheets/d/1XL5vhW3sbDhbH9Cz0tuDiY8C3ctxq1tqvaCgkFb8cCA/edit?usp=sharing"",""หนองคาย!M446"")"),0)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IFERROR(__xludf.DUMMYFUNCTION("IMPORTRANGE(""https://docs.google.com/spreadsheets/d/1XL5vhW3sbDhbH9Cz0tuDiY8C3ctxq1tqvaCgkFb8cCA/edit?usp=sharing"",""หนองคาย!L447"")"),0)</f>
        <v>0</v>
      </c>
      <c r="M552" s="164"/>
      <c r="N552" s="169">
        <f ca="1">IFERROR(__xludf.DUMMYFUNCTION("IMPORTRANGE(""https://docs.google.com/spreadsheets/d/1XL5vhW3sbDhbH9Cz0tuDiY8C3ctxq1tqvaCgkFb8cCA/edit?usp=sharing"",""หนองคาย!M447"")"),0)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IFERROR(__xludf.DUMMYFUNCTION("IMPORTRANGE(""https://docs.google.com/spreadsheets/d/1XL5vhW3sbDhbH9Cz0tuDiY8C3ctxq1tqvaCgkFb8cCA/edit?usp=sharing"",""หนองคาย!L448"")"),0)</f>
        <v>0</v>
      </c>
      <c r="M553" s="165"/>
      <c r="N553" s="169">
        <f ca="1">IFERROR(__xludf.DUMMYFUNCTION("IMPORTRANGE(""https://docs.google.com/spreadsheets/d/1XL5vhW3sbDhbH9Cz0tuDiY8C3ctxq1tqvaCgkFb8cCA/edit?usp=sharing"",""หนองคาย!M448"")"),0)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IFERROR(__xludf.DUMMYFUNCTION("IMPORTRANGE(""https://docs.google.com/spreadsheets/d/1XL5vhW3sbDhbH9Cz0tuDiY8C3ctxq1tqvaCgkFb8cCA/edit?usp=sharing"",""หนองคาย!L449"")"),0)</f>
        <v>0</v>
      </c>
      <c r="M554" s="169"/>
      <c r="N554" s="169">
        <f ca="1">IFERROR(__xludf.DUMMYFUNCTION("IMPORTRANGE(""https://docs.google.com/spreadsheets/d/1XL5vhW3sbDhbH9Cz0tuDiY8C3ctxq1tqvaCgkFb8cCA/edit?usp=sharing"",""หนองคาย!M449"")"),0)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IFERROR(__xludf.DUMMYFUNCTION("IMPORTRANGE(""https://docs.google.com/spreadsheets/d/1XL5vhW3sbDhbH9Cz0tuDiY8C3ctxq1tqvaCgkFb8cCA/edit?usp=sharing"",""หนองคาย!L450"")"),0)</f>
        <v>0</v>
      </c>
      <c r="M555" s="169"/>
      <c r="N555" s="169">
        <f ca="1">IFERROR(__xludf.DUMMYFUNCTION("IMPORTRANGE(""https://docs.google.com/spreadsheets/d/1XL5vhW3sbDhbH9Cz0tuDiY8C3ctxq1tqvaCgkFb8cCA/edit?usp=sharing"",""หนองคาย!M450"")"),0)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IFERROR(__xludf.DUMMYFUNCTION("IMPORTRANGE(""https://docs.google.com/spreadsheets/d/1XL5vhW3sbDhbH9Cz0tuDiY8C3ctxq1tqvaCgkFb8cCA/edit?usp=sharing"",""หนองคาย!M451"")"),0)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IFERROR(__xludf.DUMMYFUNCTION("IMPORTRANGE(""https://docs.google.com/spreadsheets/d/1XL5vhW3sbDhbH9Cz0tuDiY8C3ctxq1tqvaCgkFb8cCA/edit?usp=sharing"",""หนองคาย!M452"")"),0)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IFERROR(__xludf.DUMMYFUNCTION("IMPORTRANGE(""https://docs.google.com/spreadsheets/d/1XL5vhW3sbDhbH9Cz0tuDiY8C3ctxq1tqvaCgkFb8cCA/edit?usp=sharing"",""หนองคาย!M453"")"),0)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IFERROR(__xludf.DUMMYFUNCTION("IMPORTRANGE(""https://docs.google.com/spreadsheets/d/1XL5vhW3sbDhbH9Cz0tuDiY8C3ctxq1tqvaCgkFb8cCA/edit?usp=sharing"",""หนองคาย!M454"")"),0)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IFERROR(__xludf.DUMMYFUNCTION("IMPORTRANGE(""https://docs.google.com/spreadsheets/d/1XL5vhW3sbDhbH9Cz0tuDiY8C3ctxq1tqvaCgkFb8cCA/edit?usp=sharing"",""หนองคาย!I455"")"),0)</f>
        <v>0</v>
      </c>
      <c r="J560" s="162">
        <f ca="1">IFERROR(__xludf.DUMMYFUNCTION("IMPORTRANGE(""https://docs.google.com/spreadsheets/d/1XL5vhW3sbDhbH9Cz0tuDiY8C3ctxq1tqvaCgkFb8cCA/edit?usp=sharing"",""หนองคาย!J455"")"),0)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IFERROR(__xludf.DUMMYFUNCTION("IMPORTRANGE(""https://docs.google.com/spreadsheets/d/1XL5vhW3sbDhbH9Cz0tuDiY8C3ctxq1tqvaCgkFb8cCA/edit?usp=sharing"",""หนองคาย!I456"")"),0)</f>
        <v>0</v>
      </c>
      <c r="J561" s="204">
        <f ca="1">IFERROR(__xludf.DUMMYFUNCTION("IMPORTRANGE(""https://docs.google.com/spreadsheets/d/1XL5vhW3sbDhbH9Cz0tuDiY8C3ctxq1tqvaCgkFb8cCA/edit?usp=sharing"",""หนองคาย!J456"")"),0)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IFERROR(__xludf.DUMMYFUNCTION("IMPORTRANGE(""https://docs.google.com/spreadsheets/d/1XL5vhW3sbDhbH9Cz0tuDiY8C3ctxq1tqvaCgkFb8cCA/edit?usp=sharing"",""หนองคาย!I459"")"),2200)</f>
        <v>2200</v>
      </c>
      <c r="J564" s="371">
        <f ca="1">IFERROR(__xludf.DUMMYFUNCTION("IMPORTRANGE(""https://docs.google.com/spreadsheets/d/1XL5vhW3sbDhbH9Cz0tuDiY8C3ctxq1tqvaCgkFb8cCA/edit?usp=sharing"",""หนองคาย!J459"")"),3227)</f>
        <v>3227</v>
      </c>
      <c r="K564" s="372">
        <f ca="1">IF(I564&gt;0,J564*100/I564,0)</f>
        <v>146.68181818181819</v>
      </c>
      <c r="L564" s="373">
        <f ca="1">IFERROR(__xludf.DUMMYFUNCTION("IMPORTRANGE(""https://docs.google.com/spreadsheets/d/1XL5vhW3sbDhbH9Cz0tuDiY8C3ctxq1tqvaCgkFb8cCA/edit?usp=sharing"",""หนองคาย!L459"")"),143040)</f>
        <v>143040</v>
      </c>
      <c r="M564" s="373"/>
      <c r="N564" s="373">
        <f ca="1">IFERROR(__xludf.DUMMYFUNCTION("IMPORTRANGE(""https://docs.google.com/spreadsheets/d/1XL5vhW3sbDhbH9Cz0tuDiY8C3ctxq1tqvaCgkFb8cCA/edit?usp=sharing"",""หนองคาย!M459"")"),102030)</f>
        <v>102030</v>
      </c>
      <c r="O564" s="373">
        <f t="shared" ref="O564:O568" ca="1" si="122">+IF(L564&gt;0,N564*100/L564,0)</f>
        <v>71.329697986577187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IFERROR(__xludf.DUMMYFUNCTION("IMPORTRANGE(""https://docs.google.com/spreadsheets/d/1XL5vhW3sbDhbH9Cz0tuDiY8C3ctxq1tqvaCgkFb8cCA/edit?usp=sharing"",""หนองคาย!L460"")"),0)</f>
        <v>0</v>
      </c>
      <c r="M565" s="164"/>
      <c r="N565" s="169">
        <f ca="1">IFERROR(__xludf.DUMMYFUNCTION("IMPORTRANGE(""https://docs.google.com/spreadsheets/d/1XL5vhW3sbDhbH9Cz0tuDiY8C3ctxq1tqvaCgkFb8cCA/edit?usp=sharing"",""หนองคาย!M460"")"),0)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IFERROR(__xludf.DUMMYFUNCTION("IMPORTRANGE(""https://docs.google.com/spreadsheets/d/1XL5vhW3sbDhbH9Cz0tuDiY8C3ctxq1tqvaCgkFb8cCA/edit?usp=sharing"",""หนองคาย!L461"")"),143040)</f>
        <v>143040</v>
      </c>
      <c r="M566" s="165"/>
      <c r="N566" s="169">
        <f ca="1">IFERROR(__xludf.DUMMYFUNCTION("IMPORTRANGE(""https://docs.google.com/spreadsheets/d/1XL5vhW3sbDhbH9Cz0tuDiY8C3ctxq1tqvaCgkFb8cCA/edit?usp=sharing"",""หนองคาย!M461"")"),102030)</f>
        <v>102030</v>
      </c>
      <c r="O566" s="169">
        <f t="shared" ca="1" si="122"/>
        <v>71.329697986577187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IFERROR(__xludf.DUMMYFUNCTION("IMPORTRANGE(""https://docs.google.com/spreadsheets/d/1XL5vhW3sbDhbH9Cz0tuDiY8C3ctxq1tqvaCgkFb8cCA/edit?usp=sharing"",""หนองคาย!L462"")"),0)</f>
        <v>0</v>
      </c>
      <c r="M567" s="169"/>
      <c r="N567" s="169">
        <f ca="1">IFERROR(__xludf.DUMMYFUNCTION("IMPORTRANGE(""https://docs.google.com/spreadsheets/d/1XL5vhW3sbDhbH9Cz0tuDiY8C3ctxq1tqvaCgkFb8cCA/edit?usp=sharing"",""หนองคาย!M462"")"),0)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IFERROR(__xludf.DUMMYFUNCTION("IMPORTRANGE(""https://docs.google.com/spreadsheets/d/1XL5vhW3sbDhbH9Cz0tuDiY8C3ctxq1tqvaCgkFb8cCA/edit?usp=sharing"",""หนองคาย!L463"")"),143040)</f>
        <v>143040</v>
      </c>
      <c r="M568" s="169"/>
      <c r="N568" s="169">
        <f ca="1">IFERROR(__xludf.DUMMYFUNCTION("IMPORTRANGE(""https://docs.google.com/spreadsheets/d/1XL5vhW3sbDhbH9Cz0tuDiY8C3ctxq1tqvaCgkFb8cCA/edit?usp=sharing"",""หนองคาย!M463"")"),102030)</f>
        <v>102030</v>
      </c>
      <c r="O568" s="169">
        <f t="shared" ca="1" si="122"/>
        <v>71.329697986577187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IFERROR(__xludf.DUMMYFUNCTION("IMPORTRANGE(""https://docs.google.com/spreadsheets/d/1XL5vhW3sbDhbH9Cz0tuDiY8C3ctxq1tqvaCgkFb8cCA/edit?usp=sharing"",""หนองคาย!M464"")"),0)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IFERROR(__xludf.DUMMYFUNCTION("IMPORTRANGE(""https://docs.google.com/spreadsheets/d/1XL5vhW3sbDhbH9Cz0tuDiY8C3ctxq1tqvaCgkFb8cCA/edit?usp=sharing"",""หนองคาย!M465"")"),0)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IFERROR(__xludf.DUMMYFUNCTION("IMPORTRANGE(""https://docs.google.com/spreadsheets/d/1XL5vhW3sbDhbH9Cz0tuDiY8C3ctxq1tqvaCgkFb8cCA/edit?usp=sharing"",""หนองคาย!M466"")"),62085.01)</f>
        <v>62085.01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IFERROR(__xludf.DUMMYFUNCTION("IMPORTRANGE(""https://docs.google.com/spreadsheets/d/1XL5vhW3sbDhbH9Cz0tuDiY8C3ctxq1tqvaCgkFb8cCA/edit?usp=sharing"",""หนองคาย!M467"")"),39944.99)</f>
        <v>39944.99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IFERROR(__xludf.DUMMYFUNCTION("IMPORTRANGE(""https://docs.google.com/spreadsheets/d/1XL5vhW3sbDhbH9Cz0tuDiY8C3ctxq1tqvaCgkFb8cCA/edit?usp=sharing"",""หนองคาย!I468"")"),2200)</f>
        <v>2200</v>
      </c>
      <c r="J573" s="420">
        <f ca="1">IFERROR(__xludf.DUMMYFUNCTION("IMPORTRANGE(""https://docs.google.com/spreadsheets/d/1XL5vhW3sbDhbH9Cz0tuDiY8C3ctxq1tqvaCgkFb8cCA/edit?usp=sharing"",""หนองคาย!J468"")"),3227)</f>
        <v>3227</v>
      </c>
      <c r="K573" s="202">
        <f ca="1">IF(I573&gt;0,J573*100/I573,0)</f>
        <v>146.68181818181819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IFERROR(__xludf.DUMMYFUNCTION("IMPORTRANGE(""https://docs.google.com/spreadsheets/d/1XL5vhW3sbDhbH9Cz0tuDiY8C3ctxq1tqvaCgkFb8cCA/edit?usp=sharing"",""หนองคาย!I470"")"),0)</f>
        <v>0</v>
      </c>
      <c r="J575" s="198">
        <f ca="1">IFERROR(__xludf.DUMMYFUNCTION("IMPORTRANGE(""https://docs.google.com/spreadsheets/d/1XL5vhW3sbDhbH9Cz0tuDiY8C3ctxq1tqvaCgkFb8cCA/edit?usp=sharing"",""หนองคาย!J470"")"),0)</f>
        <v>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IFERROR(__xludf.DUMMYFUNCTION("IMPORTRANGE(""https://docs.google.com/spreadsheets/d/1XL5vhW3sbDhbH9Cz0tuDiY8C3ctxq1tqvaCgkFb8cCA/edit?usp=sharing"",""หนองคาย!I471"")"),0)</f>
        <v>0</v>
      </c>
      <c r="J576" s="198">
        <f ca="1">IFERROR(__xludf.DUMMYFUNCTION("IMPORTRANGE(""https://docs.google.com/spreadsheets/d/1XL5vhW3sbDhbH9Cz0tuDiY8C3ctxq1tqvaCgkFb8cCA/edit?usp=sharing"",""หนองคาย!J471"")"),0)</f>
        <v>0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IFERROR(__xludf.DUMMYFUNCTION("IMPORTRANGE(""https://docs.google.com/spreadsheets/d/1XL5vhW3sbDhbH9Cz0tuDiY8C3ctxq1tqvaCgkFb8cCA/edit?usp=sharing"",""หนองคาย!I472"")"),0)</f>
        <v>0</v>
      </c>
      <c r="J577" s="189">
        <f ca="1">IFERROR(__xludf.DUMMYFUNCTION("IMPORTRANGE(""https://docs.google.com/spreadsheets/d/1XL5vhW3sbDhbH9Cz0tuDiY8C3ctxq1tqvaCgkFb8cCA/edit?usp=sharing"",""หนองคาย!J472"")"),3227)</f>
        <v>3227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IFERROR(__xludf.DUMMYFUNCTION("IMPORTRANGE(""https://docs.google.com/spreadsheets/d/1XL5vhW3sbDhbH9Cz0tuDiY8C3ctxq1tqvaCgkFb8cCA/edit?usp=sharing"",""หนองคาย!I473"")"),0)</f>
        <v>0</v>
      </c>
      <c r="J578" s="198">
        <f ca="1">IFERROR(__xludf.DUMMYFUNCTION("IMPORTRANGE(""https://docs.google.com/spreadsheets/d/1XL5vhW3sbDhbH9Cz0tuDiY8C3ctxq1tqvaCgkFb8cCA/edit?usp=sharing"",""หนองคาย!J473"")"),0)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IFERROR(__xludf.DUMMYFUNCTION("IMPORTRANGE(""https://docs.google.com/spreadsheets/d/1XL5vhW3sbDhbH9Cz0tuDiY8C3ctxq1tqvaCgkFb8cCA/edit?usp=sharing"",""หนองคาย!I474"")"),0)</f>
        <v>0</v>
      </c>
      <c r="J579" s="198">
        <f ca="1">IFERROR(__xludf.DUMMYFUNCTION("IMPORTRANGE(""https://docs.google.com/spreadsheets/d/1XL5vhW3sbDhbH9Cz0tuDiY8C3ctxq1tqvaCgkFb8cCA/edit?usp=sharing"",""หนองคาย!J474"")"),0)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IFERROR(__xludf.DUMMYFUNCTION("IMPORTRANGE(""https://docs.google.com/spreadsheets/d/1XL5vhW3sbDhbH9Cz0tuDiY8C3ctxq1tqvaCgkFb8cCA/edit?usp=sharing"",""หนองคาย!I475"")"),6)</f>
        <v>6</v>
      </c>
      <c r="J580" s="371">
        <f ca="1">IFERROR(__xludf.DUMMYFUNCTION("IMPORTRANGE(""https://docs.google.com/spreadsheets/d/1XL5vhW3sbDhbH9Cz0tuDiY8C3ctxq1tqvaCgkFb8cCA/edit?usp=sharing"",""หนองคาย!J475"")"),0)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IFERROR(__xludf.DUMMYFUNCTION("IMPORTRANGE(""https://docs.google.com/spreadsheets/d/1XL5vhW3sbDhbH9Cz0tuDiY8C3ctxq1tqvaCgkFb8cCA/edit?usp=sharing"",""หนองคาย!L475"")"),115706)</f>
        <v>115706</v>
      </c>
      <c r="M580" s="373"/>
      <c r="N580" s="373">
        <f ca="1">IFERROR(__xludf.DUMMYFUNCTION("IMPORTRANGE(""https://docs.google.com/spreadsheets/d/1XL5vhW3sbDhbH9Cz0tuDiY8C3ctxq1tqvaCgkFb8cCA/edit?usp=sharing"",""หนองคาย!M475"")"),800)</f>
        <v>800</v>
      </c>
      <c r="O580" s="373">
        <f t="shared" ref="O580:O584" ca="1" si="124">+IF(L580&gt;0,N580*100/L580,0)</f>
        <v>0.69140753288507073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IFERROR(__xludf.DUMMYFUNCTION("IMPORTRANGE(""https://docs.google.com/spreadsheets/d/1XL5vhW3sbDhbH9Cz0tuDiY8C3ctxq1tqvaCgkFb8cCA/edit?usp=sharing"",""หนองคาย!L476"")"),0)</f>
        <v>0</v>
      </c>
      <c r="M581" s="164"/>
      <c r="N581" s="169">
        <f ca="1">IFERROR(__xludf.DUMMYFUNCTION("IMPORTRANGE(""https://docs.google.com/spreadsheets/d/1XL5vhW3sbDhbH9Cz0tuDiY8C3ctxq1tqvaCgkFb8cCA/edit?usp=sharing"",""หนองคาย!M476"")"),0)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IFERROR(__xludf.DUMMYFUNCTION("IMPORTRANGE(""https://docs.google.com/spreadsheets/d/1XL5vhW3sbDhbH9Cz0tuDiY8C3ctxq1tqvaCgkFb8cCA/edit?usp=sharing"",""หนองคาย!L477"")"),115706)</f>
        <v>115706</v>
      </c>
      <c r="M582" s="165"/>
      <c r="N582" s="169">
        <f ca="1">IFERROR(__xludf.DUMMYFUNCTION("IMPORTRANGE(""https://docs.google.com/spreadsheets/d/1XL5vhW3sbDhbH9Cz0tuDiY8C3ctxq1tqvaCgkFb8cCA/edit?usp=sharing"",""หนองคาย!M477"")"),800)</f>
        <v>800</v>
      </c>
      <c r="O582" s="169">
        <f t="shared" ca="1" si="124"/>
        <v>0.69140753288507073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IFERROR(__xludf.DUMMYFUNCTION("IMPORTRANGE(""https://docs.google.com/spreadsheets/d/1XL5vhW3sbDhbH9Cz0tuDiY8C3ctxq1tqvaCgkFb8cCA/edit?usp=sharing"",""หนองคาย!L478"")"),0)</f>
        <v>0</v>
      </c>
      <c r="M583" s="169"/>
      <c r="N583" s="169">
        <f ca="1">IFERROR(__xludf.DUMMYFUNCTION("IMPORTRANGE(""https://docs.google.com/spreadsheets/d/1XL5vhW3sbDhbH9Cz0tuDiY8C3ctxq1tqvaCgkFb8cCA/edit?usp=sharing"",""หนองคาย!M478"")"),0)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IFERROR(__xludf.DUMMYFUNCTION("IMPORTRANGE(""https://docs.google.com/spreadsheets/d/1XL5vhW3sbDhbH9Cz0tuDiY8C3ctxq1tqvaCgkFb8cCA/edit?usp=sharing"",""หนองคาย!L479"")"),115706)</f>
        <v>115706</v>
      </c>
      <c r="M584" s="169"/>
      <c r="N584" s="169">
        <f ca="1">IFERROR(__xludf.DUMMYFUNCTION("IMPORTRANGE(""https://docs.google.com/spreadsheets/d/1XL5vhW3sbDhbH9Cz0tuDiY8C3ctxq1tqvaCgkFb8cCA/edit?usp=sharing"",""หนองคาย!M479"")"),800)</f>
        <v>800</v>
      </c>
      <c r="O584" s="169">
        <f t="shared" ca="1" si="124"/>
        <v>0.69140753288507073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IFERROR(__xludf.DUMMYFUNCTION("IMPORTRANGE(""https://docs.google.com/spreadsheets/d/1XL5vhW3sbDhbH9Cz0tuDiY8C3ctxq1tqvaCgkFb8cCA/edit?usp=sharing"",""หนองคาย!M480"")"),0)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IFERROR(__xludf.DUMMYFUNCTION("IMPORTRANGE(""https://docs.google.com/spreadsheets/d/1XL5vhW3sbDhbH9Cz0tuDiY8C3ctxq1tqvaCgkFb8cCA/edit?usp=sharing"",""หนองคาย!M481"")"),0)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IFERROR(__xludf.DUMMYFUNCTION("IMPORTRANGE(""https://docs.google.com/spreadsheets/d/1XL5vhW3sbDhbH9Cz0tuDiY8C3ctxq1tqvaCgkFb8cCA/edit?usp=sharing"",""หนองคาย!M482"")"),0)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IFERROR(__xludf.DUMMYFUNCTION("IMPORTRANGE(""https://docs.google.com/spreadsheets/d/1XL5vhW3sbDhbH9Cz0tuDiY8C3ctxq1tqvaCgkFb8cCA/edit?usp=sharing"",""หนองคาย!M483"")"),800)</f>
        <v>800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IFERROR(__xludf.DUMMYFUNCTION("IMPORTRANGE(""https://docs.google.com/spreadsheets/d/1XL5vhW3sbDhbH9Cz0tuDiY8C3ctxq1tqvaCgkFb8cCA/edit?usp=sharing"",""หนองคาย!I484"")"),6)</f>
        <v>6</v>
      </c>
      <c r="J589" s="188">
        <f ca="1">IFERROR(__xludf.DUMMYFUNCTION("IMPORTRANGE(""https://docs.google.com/spreadsheets/d/1XL5vhW3sbDhbH9Cz0tuDiY8C3ctxq1tqvaCgkFb8cCA/edit?usp=sharing"",""หนองคาย!J484"")"),7)</f>
        <v>7</v>
      </c>
      <c r="K589" s="163">
        <f t="shared" ref="K589:K596" ca="1" si="125">IF(I589&gt;0,J589*100/I589,0)</f>
        <v>116.66666666666667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IFERROR(__xludf.DUMMYFUNCTION("IMPORTRANGE(""https://docs.google.com/spreadsheets/d/1XL5vhW3sbDhbH9Cz0tuDiY8C3ctxq1tqvaCgkFb8cCA/edit?usp=sharing"",""หนองคาย!I485"")"),0)</f>
        <v>0</v>
      </c>
      <c r="J590" s="188">
        <f ca="1">IFERROR(__xludf.DUMMYFUNCTION("IMPORTRANGE(""https://docs.google.com/spreadsheets/d/1XL5vhW3sbDhbH9Cz0tuDiY8C3ctxq1tqvaCgkFb8cCA/edit?usp=sharing"",""หนองคาย!J485"")"),7.33)</f>
        <v>7.33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IFERROR(__xludf.DUMMYFUNCTION("IMPORTRANGE(""https://docs.google.com/spreadsheets/d/1XL5vhW3sbDhbH9Cz0tuDiY8C3ctxq1tqvaCgkFb8cCA/edit?usp=sharing"",""หนองคาย!I486"")"),6)</f>
        <v>6</v>
      </c>
      <c r="J591" s="188">
        <f ca="1">IFERROR(__xludf.DUMMYFUNCTION("IMPORTRANGE(""https://docs.google.com/spreadsheets/d/1XL5vhW3sbDhbH9Cz0tuDiY8C3ctxq1tqvaCgkFb8cCA/edit?usp=sharing"",""หนองคาย!J486"")"),0)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IFERROR(__xludf.DUMMYFUNCTION("IMPORTRANGE(""https://docs.google.com/spreadsheets/d/1XL5vhW3sbDhbH9Cz0tuDiY8C3ctxq1tqvaCgkFb8cCA/edit?usp=sharing"",""หนองคาย!I487"")"),0)</f>
        <v>0</v>
      </c>
      <c r="J592" s="188">
        <f ca="1">IFERROR(__xludf.DUMMYFUNCTION("IMPORTRANGE(""https://docs.google.com/spreadsheets/d/1XL5vhW3sbDhbH9Cz0tuDiY8C3ctxq1tqvaCgkFb8cCA/edit?usp=sharing"",""หนองคาย!J487"")"),0)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IFERROR(__xludf.DUMMYFUNCTION("IMPORTRANGE(""https://docs.google.com/spreadsheets/d/1XL5vhW3sbDhbH9Cz0tuDiY8C3ctxq1tqvaCgkFb8cCA/edit?usp=sharing"",""หนองคาย!I488"")"),6)</f>
        <v>6</v>
      </c>
      <c r="J593" s="188">
        <f ca="1">IFERROR(__xludf.DUMMYFUNCTION("IMPORTRANGE(""https://docs.google.com/spreadsheets/d/1XL5vhW3sbDhbH9Cz0tuDiY8C3ctxq1tqvaCgkFb8cCA/edit?usp=sharing"",""หนองคาย!J488"")"),0)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IFERROR(__xludf.DUMMYFUNCTION("IMPORTRANGE(""https://docs.google.com/spreadsheets/d/1XL5vhW3sbDhbH9Cz0tuDiY8C3ctxq1tqvaCgkFb8cCA/edit?usp=sharing"",""หนองคาย!I489"")"),0)</f>
        <v>0</v>
      </c>
      <c r="J594" s="188">
        <f ca="1">IFERROR(__xludf.DUMMYFUNCTION("IMPORTRANGE(""https://docs.google.com/spreadsheets/d/1XL5vhW3sbDhbH9Cz0tuDiY8C3ctxq1tqvaCgkFb8cCA/edit?usp=sharing"",""หนองคาย!J489"")"),0)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IFERROR(__xludf.DUMMYFUNCTION("IMPORTRANGE(""https://docs.google.com/spreadsheets/d/1XL5vhW3sbDhbH9Cz0tuDiY8C3ctxq1tqvaCgkFb8cCA/edit?usp=sharing"",""หนองคาย!I490"")"),6)</f>
        <v>6</v>
      </c>
      <c r="J595" s="188">
        <f ca="1">IFERROR(__xludf.DUMMYFUNCTION("IMPORTRANGE(""https://docs.google.com/spreadsheets/d/1XL5vhW3sbDhbH9Cz0tuDiY8C3ctxq1tqvaCgkFb8cCA/edit?usp=sharing"",""หนองคาย!J490"")"),0)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IFERROR(__xludf.DUMMYFUNCTION("IMPORTRANGE(""https://docs.google.com/spreadsheets/d/1XL5vhW3sbDhbH9Cz0tuDiY8C3ctxq1tqvaCgkFb8cCA/edit?usp=sharing"",""หนองคาย!I491"")"),0)</f>
        <v>0</v>
      </c>
      <c r="J596" s="241">
        <f ca="1">IFERROR(__xludf.DUMMYFUNCTION("IMPORTRANGE(""https://docs.google.com/spreadsheets/d/1XL5vhW3sbDhbH9Cz0tuDiY8C3ctxq1tqvaCgkFb8cCA/edit?usp=sharing"",""หนองคาย!J491"")"),0)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IFERROR(__xludf.DUMMYFUNCTION("IMPORTRANGE(""https://docs.google.com/spreadsheets/d/1XL5vhW3sbDhbH9Cz0tuDiY8C3ctxq1tqvaCgkFb8cCA/edit?usp=sharing"",""หนองคาย!I492"")"),100)</f>
        <v>100</v>
      </c>
      <c r="J597" s="487">
        <f ca="1">IFERROR(__xludf.DUMMYFUNCTION("IMPORTRANGE(""https://docs.google.com/spreadsheets/d/1XL5vhW3sbDhbH9Cz0tuDiY8C3ctxq1tqvaCgkFb8cCA/edit?usp=sharing"",""หนองคาย!J492"")"),0)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IFERROR(__xludf.DUMMYFUNCTION("IMPORTRANGE(""https://docs.google.com/spreadsheets/d/1XL5vhW3sbDhbH9Cz0tuDiY8C3ctxq1tqvaCgkFb8cCA/edit?usp=sharing"",""หนองคาย!L492"")"),11300)</f>
        <v>11300</v>
      </c>
      <c r="M597" s="412"/>
      <c r="N597" s="412">
        <f ca="1">IFERROR(__xludf.DUMMYFUNCTION("IMPORTRANGE(""https://docs.google.com/spreadsheets/d/1XL5vhW3sbDhbH9Cz0tuDiY8C3ctxq1tqvaCgkFb8cCA/edit?usp=sharing"",""หนองคาย!M492"")"),2220)</f>
        <v>2220</v>
      </c>
      <c r="O597" s="412">
        <f t="shared" ref="O597:O601" ca="1" si="126">+IF(L597&gt;0,N597*100/L597,0)</f>
        <v>19.646017699115045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IFERROR(__xludf.DUMMYFUNCTION("IMPORTRANGE(""https://docs.google.com/spreadsheets/d/1XL5vhW3sbDhbH9Cz0tuDiY8C3ctxq1tqvaCgkFb8cCA/edit?usp=sharing"",""หนองคาย!L493"")"),0)</f>
        <v>0</v>
      </c>
      <c r="M598" s="164"/>
      <c r="N598" s="169">
        <f ca="1">IFERROR(__xludf.DUMMYFUNCTION("IMPORTRANGE(""https://docs.google.com/spreadsheets/d/1XL5vhW3sbDhbH9Cz0tuDiY8C3ctxq1tqvaCgkFb8cCA/edit?usp=sharing"",""หนองคาย!M493"")"),0)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IFERROR(__xludf.DUMMYFUNCTION("IMPORTRANGE(""https://docs.google.com/spreadsheets/d/1XL5vhW3sbDhbH9Cz0tuDiY8C3ctxq1tqvaCgkFb8cCA/edit?usp=sharing"",""หนองคาย!L494"")"),11300)</f>
        <v>11300</v>
      </c>
      <c r="M599" s="165"/>
      <c r="N599" s="169">
        <f ca="1">IFERROR(__xludf.DUMMYFUNCTION("IMPORTRANGE(""https://docs.google.com/spreadsheets/d/1XL5vhW3sbDhbH9Cz0tuDiY8C3ctxq1tqvaCgkFb8cCA/edit?usp=sharing"",""หนองคาย!M494"")"),2220)</f>
        <v>2220</v>
      </c>
      <c r="O599" s="169">
        <f t="shared" ca="1" si="126"/>
        <v>19.646017699115045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IFERROR(__xludf.DUMMYFUNCTION("IMPORTRANGE(""https://docs.google.com/spreadsheets/d/1XL5vhW3sbDhbH9Cz0tuDiY8C3ctxq1tqvaCgkFb8cCA/edit?usp=sharing"",""หนองคาย!L495"")"),0)</f>
        <v>0</v>
      </c>
      <c r="M600" s="169"/>
      <c r="N600" s="169">
        <f ca="1">IFERROR(__xludf.DUMMYFUNCTION("IMPORTRANGE(""https://docs.google.com/spreadsheets/d/1XL5vhW3sbDhbH9Cz0tuDiY8C3ctxq1tqvaCgkFb8cCA/edit?usp=sharing"",""หนองคาย!M495"")"),0)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IFERROR(__xludf.DUMMYFUNCTION("IMPORTRANGE(""https://docs.google.com/spreadsheets/d/1XL5vhW3sbDhbH9Cz0tuDiY8C3ctxq1tqvaCgkFb8cCA/edit?usp=sharing"",""หนองคาย!L496"")"),11300)</f>
        <v>11300</v>
      </c>
      <c r="M601" s="169"/>
      <c r="N601" s="169">
        <f ca="1">IFERROR(__xludf.DUMMYFUNCTION("IMPORTRANGE(""https://docs.google.com/spreadsheets/d/1XL5vhW3sbDhbH9Cz0tuDiY8C3ctxq1tqvaCgkFb8cCA/edit?usp=sharing"",""หนองคาย!M496"")"),2220)</f>
        <v>2220</v>
      </c>
      <c r="O601" s="169">
        <f t="shared" ca="1" si="126"/>
        <v>19.646017699115045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IFERROR(__xludf.DUMMYFUNCTION("IMPORTRANGE(""https://docs.google.com/spreadsheets/d/1XL5vhW3sbDhbH9Cz0tuDiY8C3ctxq1tqvaCgkFb8cCA/edit?usp=sharing"",""หนองคาย!M497"")"),0)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IFERROR(__xludf.DUMMYFUNCTION("IMPORTRANGE(""https://docs.google.com/spreadsheets/d/1XL5vhW3sbDhbH9Cz0tuDiY8C3ctxq1tqvaCgkFb8cCA/edit?usp=sharing"",""หนองคาย!M498"")"),0)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IFERROR(__xludf.DUMMYFUNCTION("IMPORTRANGE(""https://docs.google.com/spreadsheets/d/1XL5vhW3sbDhbH9Cz0tuDiY8C3ctxq1tqvaCgkFb8cCA/edit?usp=sharing"",""หนองคาย!M499"")"),0)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IFERROR(__xludf.DUMMYFUNCTION("IMPORTRANGE(""https://docs.google.com/spreadsheets/d/1XL5vhW3sbDhbH9Cz0tuDiY8C3ctxq1tqvaCgkFb8cCA/edit?usp=sharing"",""หนองคาย!M500"")"),2220)</f>
        <v>2220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IFERROR(__xludf.DUMMYFUNCTION("IMPORTRANGE(""https://docs.google.com/spreadsheets/d/1XL5vhW3sbDhbH9Cz0tuDiY8C3ctxq1tqvaCgkFb8cCA/edit?usp=sharing"",""หนองคาย!J502"")"),0)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IFERROR(__xludf.DUMMYFUNCTION("IMPORTRANGE(""https://docs.google.com/spreadsheets/d/1XL5vhW3sbDhbH9Cz0tuDiY8C3ctxq1tqvaCgkFb8cCA/edit?usp=sharing"",""หนองคาย!J503"")"),1)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539"/>
      <c r="B609" s="540"/>
      <c r="C609" s="540"/>
      <c r="D609" s="541"/>
      <c r="E609" s="542" t="s">
        <v>46</v>
      </c>
      <c r="F609" s="543"/>
      <c r="G609" s="544"/>
      <c r="H609" s="545"/>
      <c r="I609" s="546"/>
      <c r="J609" s="546">
        <f ca="1">IFERROR(__xludf.DUMMYFUNCTION("IMPORTRANGE(""https://docs.google.com/spreadsheets/d/1XL5vhW3sbDhbH9Cz0tuDiY8C3ctxq1tqvaCgkFb8cCA/edit?usp=sharing"",""หนองคาย!J166"")"),0)</f>
        <v>0</v>
      </c>
      <c r="K609" s="547"/>
      <c r="L609" s="548"/>
      <c r="M609" s="548"/>
      <c r="N609" s="548"/>
      <c r="O609" s="548"/>
      <c r="P609" s="548"/>
    </row>
    <row r="610" spans="1:16" ht="21.75" hidden="1" customHeight="1" x14ac:dyDescent="0.35">
      <c r="A610" s="539"/>
      <c r="B610" s="540"/>
      <c r="C610" s="540"/>
      <c r="D610" s="541"/>
      <c r="E610" s="542" t="s">
        <v>47</v>
      </c>
      <c r="F610" s="543"/>
      <c r="G610" s="544"/>
      <c r="H610" s="545"/>
      <c r="I610" s="546"/>
      <c r="J610" s="546">
        <f ca="1">IFERROR(__xludf.DUMMYFUNCTION("IMPORTRANGE(""https://docs.google.com/spreadsheets/d/1XL5vhW3sbDhbH9Cz0tuDiY8C3ctxq1tqvaCgkFb8cCA/edit?usp=sharing"",""หนองคาย!J166"")"),0)</f>
        <v>0</v>
      </c>
      <c r="K610" s="547"/>
      <c r="L610" s="548"/>
      <c r="M610" s="548"/>
      <c r="N610" s="548"/>
      <c r="O610" s="548"/>
      <c r="P610" s="548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IFERROR(__xludf.DUMMYFUNCTION("IMPORTRANGE(""https://docs.google.com/spreadsheets/d/1XL5vhW3sbDhbH9Cz0tuDiY8C3ctxq1tqvaCgkFb8cCA/edit?usp=sharing"",""หนองคาย!I506"")"),100)</f>
        <v>100</v>
      </c>
      <c r="J611" s="162">
        <f ca="1">IFERROR(__xludf.DUMMYFUNCTION("IMPORTRANGE(""https://docs.google.com/spreadsheets/d/1XL5vhW3sbDhbH9Cz0tuDiY8C3ctxq1tqvaCgkFb8cCA/edit?usp=sharing"",""หนองคาย!J506"")"),0)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IFERROR(__xludf.DUMMYFUNCTION("IMPORTRANGE(""https://docs.google.com/spreadsheets/d/1XL5vhW3sbDhbH9Cz0tuDiY8C3ctxq1tqvaCgkFb8cCA/edit?usp=sharing"",""หนองคาย!I507"")"),0)</f>
        <v>0</v>
      </c>
      <c r="J612" s="198">
        <f ca="1">IFERROR(__xludf.DUMMYFUNCTION("IMPORTRANGE(""https://docs.google.com/spreadsheets/d/1XL5vhW3sbDhbH9Cz0tuDiY8C3ctxq1tqvaCgkFb8cCA/edit?usp=sharing"",""หนองคาย!J507"")"),0)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IFERROR(__xludf.DUMMYFUNCTION("IMPORTRANGE(""https://docs.google.com/spreadsheets/d/1XL5vhW3sbDhbH9Cz0tuDiY8C3ctxq1tqvaCgkFb8cCA/edit?usp=sharing"",""หนองคาย!I508"")"),0)</f>
        <v>0</v>
      </c>
      <c r="J613" s="198">
        <f ca="1">IFERROR(__xludf.DUMMYFUNCTION("IMPORTRANGE(""https://docs.google.com/spreadsheets/d/1XL5vhW3sbDhbH9Cz0tuDiY8C3ctxq1tqvaCgkFb8cCA/edit?usp=sharing"",""หนองคาย!J508"")"),0)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IFERROR(__xludf.DUMMYFUNCTION("IMPORTRANGE(""https://docs.google.com/spreadsheets/d/1XL5vhW3sbDhbH9Cz0tuDiY8C3ctxq1tqvaCgkFb8cCA/edit?usp=sharing"",""หนองคาย!I509"")"),0)</f>
        <v>0</v>
      </c>
      <c r="J614" s="198">
        <f ca="1">IFERROR(__xludf.DUMMYFUNCTION("IMPORTRANGE(""https://docs.google.com/spreadsheets/d/1XL5vhW3sbDhbH9Cz0tuDiY8C3ctxq1tqvaCgkFb8cCA/edit?usp=sharing"",""หนองคาย!J509"")"),0)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IFERROR(__xludf.DUMMYFUNCTION("IMPORTRANGE(""https://docs.google.com/spreadsheets/d/1XL5vhW3sbDhbH9Cz0tuDiY8C3ctxq1tqvaCgkFb8cCA/edit?usp=sharing"",""หนองคาย!I510"")"),0)</f>
        <v>0</v>
      </c>
      <c r="J615" s="198">
        <f ca="1">IFERROR(__xludf.DUMMYFUNCTION("IMPORTRANGE(""https://docs.google.com/spreadsheets/d/1XL5vhW3sbDhbH9Cz0tuDiY8C3ctxq1tqvaCgkFb8cCA/edit?usp=sharing"",""หนองคาย!J510"")"),0)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IFERROR(__xludf.DUMMYFUNCTION("IMPORTRANGE(""https://docs.google.com/spreadsheets/d/1XL5vhW3sbDhbH9Cz0tuDiY8C3ctxq1tqvaCgkFb8cCA/edit?usp=sharing"",""หนองคาย!I511"")"),0)</f>
        <v>0</v>
      </c>
      <c r="J616" s="198">
        <f ca="1">IFERROR(__xludf.DUMMYFUNCTION("IMPORTRANGE(""https://docs.google.com/spreadsheets/d/1XL5vhW3sbDhbH9Cz0tuDiY8C3ctxq1tqvaCgkFb8cCA/edit?usp=sharing"",""หนองคาย!J511"")"),0)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IFERROR(__xludf.DUMMYFUNCTION("IMPORTRANGE(""https://docs.google.com/spreadsheets/d/1XL5vhW3sbDhbH9Cz0tuDiY8C3ctxq1tqvaCgkFb8cCA/edit?usp=sharing"",""หนองคาย!I512"")"),0)</f>
        <v>0</v>
      </c>
      <c r="J617" s="188">
        <f ca="1">IFERROR(__xludf.DUMMYFUNCTION("IMPORTRANGE(""https://docs.google.com/spreadsheets/d/1XL5vhW3sbDhbH9Cz0tuDiY8C3ctxq1tqvaCgkFb8cCA/edit?usp=sharing"",""หนองคาย!J512"")"),0)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IFERROR(__xludf.DUMMYFUNCTION("IMPORTRANGE(""https://docs.google.com/spreadsheets/d/1XL5vhW3sbDhbH9Cz0tuDiY8C3ctxq1tqvaCgkFb8cCA/edit?usp=sharing"",""หนองคาย!I513"")"),0)</f>
        <v>0</v>
      </c>
      <c r="J618" s="189">
        <f ca="1">IFERROR(__xludf.DUMMYFUNCTION("IMPORTRANGE(""https://docs.google.com/spreadsheets/d/1XL5vhW3sbDhbH9Cz0tuDiY8C3ctxq1tqvaCgkFb8cCA/edit?usp=sharing"",""หนองคาย!J513"")"),0)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IFERROR(__xludf.DUMMYFUNCTION("IMPORTRANGE(""https://docs.google.com/spreadsheets/d/1XL5vhW3sbDhbH9Cz0tuDiY8C3ctxq1tqvaCgkFb8cCA/edit?usp=sharing"",""หนองคาย!I514"")"),0)</f>
        <v>0</v>
      </c>
      <c r="J619" s="189">
        <f ca="1">IFERROR(__xludf.DUMMYFUNCTION("IMPORTRANGE(""https://docs.google.com/spreadsheets/d/1XL5vhW3sbDhbH9Cz0tuDiY8C3ctxq1tqvaCgkFb8cCA/edit?usp=sharing"",""หนองคาย!J514"")"),0)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IFERROR(__xludf.DUMMYFUNCTION("IMPORTRANGE(""https://docs.google.com/spreadsheets/d/1XL5vhW3sbDhbH9Cz0tuDiY8C3ctxq1tqvaCgkFb8cCA/edit?usp=sharing"",""หนองคาย!I515"")"),0)</f>
        <v>0</v>
      </c>
      <c r="J620" s="203">
        <f ca="1">IFERROR(__xludf.DUMMYFUNCTION("IMPORTRANGE(""https://docs.google.com/spreadsheets/d/1XL5vhW3sbDhbH9Cz0tuDiY8C3ctxq1tqvaCgkFb8cCA/edit?usp=sharing"",""หนองคาย!J515"")"),0)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IFERROR(__xludf.DUMMYFUNCTION("IMPORTRANGE(""https://docs.google.com/spreadsheets/d/1XL5vhW3sbDhbH9Cz0tuDiY8C3ctxq1tqvaCgkFb8cCA/edit?usp=sharing"",""หนองคาย!I516"")"),0)</f>
        <v>0</v>
      </c>
      <c r="J621" s="203">
        <f ca="1">IFERROR(__xludf.DUMMYFUNCTION("IMPORTRANGE(""https://docs.google.com/spreadsheets/d/1XL5vhW3sbDhbH9Cz0tuDiY8C3ctxq1tqvaCgkFb8cCA/edit?usp=sharing"",""หนองคาย!J516"")"),0)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IFERROR(__xludf.DUMMYFUNCTION("IMPORTRANGE(""https://docs.google.com/spreadsheets/d/1XL5vhW3sbDhbH9Cz0tuDiY8C3ctxq1tqvaCgkFb8cCA/edit?usp=sharing"",""หนองคาย!I517"")"),0)</f>
        <v>0</v>
      </c>
      <c r="J622" s="189">
        <f ca="1">IFERROR(__xludf.DUMMYFUNCTION("IMPORTRANGE(""https://docs.google.com/spreadsheets/d/1XL5vhW3sbDhbH9Cz0tuDiY8C3ctxq1tqvaCgkFb8cCA/edit?usp=sharing"",""หนองคาย!J517"")"),0)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IFERROR(__xludf.DUMMYFUNCTION("IMPORTRANGE(""https://docs.google.com/spreadsheets/d/1XL5vhW3sbDhbH9Cz0tuDiY8C3ctxq1tqvaCgkFb8cCA/edit?usp=sharing"",""หนองคาย!I518"")"),0)</f>
        <v>0</v>
      </c>
      <c r="J623" s="189">
        <f ca="1">IFERROR(__xludf.DUMMYFUNCTION("IMPORTRANGE(""https://docs.google.com/spreadsheets/d/1XL5vhW3sbDhbH9Cz0tuDiY8C3ctxq1tqvaCgkFb8cCA/edit?usp=sharing"",""หนองคาย!J518"")"),0)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IFERROR(__xludf.DUMMYFUNCTION("IMPORTRANGE(""https://docs.google.com/spreadsheets/d/1XL5vhW3sbDhbH9Cz0tuDiY8C3ctxq1tqvaCgkFb8cCA/edit?usp=sharing"",""หนองคาย!I519"")"),0)</f>
        <v>0</v>
      </c>
      <c r="J624" s="188">
        <f ca="1">IFERROR(__xludf.DUMMYFUNCTION("IMPORTRANGE(""https://docs.google.com/spreadsheets/d/1XL5vhW3sbDhbH9Cz0tuDiY8C3ctxq1tqvaCgkFb8cCA/edit?usp=sharing"",""หนองคาย!J519"")"),0)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IFERROR(__xludf.DUMMYFUNCTION("IMPORTRANGE(""https://docs.google.com/spreadsheets/d/1XL5vhW3sbDhbH9Cz0tuDiY8C3ctxq1tqvaCgkFb8cCA/edit?usp=sharing"",""หนองคาย!I520"")"),0)</f>
        <v>0</v>
      </c>
      <c r="J625" s="189">
        <f ca="1">IFERROR(__xludf.DUMMYFUNCTION("IMPORTRANGE(""https://docs.google.com/spreadsheets/d/1XL5vhW3sbDhbH9Cz0tuDiY8C3ctxq1tqvaCgkFb8cCA/edit?usp=sharing"",""หนองคาย!J520"")"),0)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IFERROR(__xludf.DUMMYFUNCTION("IMPORTRANGE(""https://docs.google.com/spreadsheets/d/1XL5vhW3sbDhbH9Cz0tuDiY8C3ctxq1tqvaCgkFb8cCA/edit?usp=sharing"",""หนองคาย!I521"")"),0)</f>
        <v>0</v>
      </c>
      <c r="J626" s="189">
        <f ca="1">IFERROR(__xludf.DUMMYFUNCTION("IMPORTRANGE(""https://docs.google.com/spreadsheets/d/1XL5vhW3sbDhbH9Cz0tuDiY8C3ctxq1tqvaCgkFb8cCA/edit?usp=sharing"",""หนองคาย!J521"")"),0)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IFERROR(__xludf.DUMMYFUNCTION("IMPORTRANGE(""https://docs.google.com/spreadsheets/d/1XL5vhW3sbDhbH9Cz0tuDiY8C3ctxq1tqvaCgkFb8cCA/edit?usp=sharing"",""หนองคาย!I523"")"),3580376.56)</f>
        <v>3580376.56</v>
      </c>
      <c r="J628" s="341">
        <f ca="1">IFERROR(__xludf.DUMMYFUNCTION("IMPORTRANGE(""https://docs.google.com/spreadsheets/d/1XL5vhW3sbDhbH9Cz0tuDiY8C3ctxq1tqvaCgkFb8cCA/edit?usp=sharing"",""หนองคาย!J523"")"),1643088.95)</f>
        <v>1643088.95</v>
      </c>
      <c r="K628" s="342">
        <f t="shared" ref="K628:K635" ca="1" si="129">IF(I628&gt;0,J628*100/I628,0)</f>
        <v>45.89151231623525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IFERROR(__xludf.DUMMYFUNCTION("IMPORTRANGE(""https://docs.google.com/spreadsheets/d/1XL5vhW3sbDhbH9Cz0tuDiY8C3ctxq1tqvaCgkFb8cCA/edit?usp=sharing"",""หนองคาย!I524"")"),357)</f>
        <v>357</v>
      </c>
      <c r="J629" s="341">
        <f ca="1">IFERROR(__xludf.DUMMYFUNCTION("IMPORTRANGE(""https://docs.google.com/spreadsheets/d/1XL5vhW3sbDhbH9Cz0tuDiY8C3ctxq1tqvaCgkFb8cCA/edit?usp=sharing"",""หนองคาย!J524"")"),165)</f>
        <v>165</v>
      </c>
      <c r="K629" s="342">
        <f t="shared" ca="1" si="129"/>
        <v>46.218487394957982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IFERROR(__xludf.DUMMYFUNCTION("IMPORTRANGE(""https://docs.google.com/spreadsheets/d/1XL5vhW3sbDhbH9Cz0tuDiY8C3ctxq1tqvaCgkFb8cCA/edit?usp=sharing"",""หนองคาย!I525"")"),550608.41)</f>
        <v>550608.41</v>
      </c>
      <c r="J630" s="341">
        <f ca="1">IFERROR(__xludf.DUMMYFUNCTION("IMPORTRANGE(""https://docs.google.com/spreadsheets/d/1XL5vhW3sbDhbH9Cz0tuDiY8C3ctxq1tqvaCgkFb8cCA/edit?usp=sharing"",""หนองคาย!J525"")"),136569.33)</f>
        <v>136569.32999999999</v>
      </c>
      <c r="K630" s="342">
        <f t="shared" ca="1" si="129"/>
        <v>24.803349807170576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IFERROR(__xludf.DUMMYFUNCTION("IMPORTRANGE(""https://docs.google.com/spreadsheets/d/1XL5vhW3sbDhbH9Cz0tuDiY8C3ctxq1tqvaCgkFb8cCA/edit?usp=sharing"",""หนองคาย!I526"")"),39)</f>
        <v>39</v>
      </c>
      <c r="J631" s="341">
        <f ca="1">IFERROR(__xludf.DUMMYFUNCTION("IMPORTRANGE(""https://docs.google.com/spreadsheets/d/1XL5vhW3sbDhbH9Cz0tuDiY8C3ctxq1tqvaCgkFb8cCA/edit?usp=sharing"",""หนองคาย!J526"")"),23)</f>
        <v>23</v>
      </c>
      <c r="K631" s="342">
        <f t="shared" ca="1" si="129"/>
        <v>58.974358974358971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IFERROR(__xludf.DUMMYFUNCTION("IMPORTRANGE(""https://docs.google.com/spreadsheets/d/1XL5vhW3sbDhbH9Cz0tuDiY8C3ctxq1tqvaCgkFb8cCA/edit?usp=sharing"",""หนองคาย!I527"")"),603701.45)</f>
        <v>603701.44999999995</v>
      </c>
      <c r="J632" s="341">
        <f ca="1">IFERROR(__xludf.DUMMYFUNCTION("IMPORTRANGE(""https://docs.google.com/spreadsheets/d/1XL5vhW3sbDhbH9Cz0tuDiY8C3ctxq1tqvaCgkFb8cCA/edit?usp=sharing"",""หนองคาย!J527"")"),280714.1)</f>
        <v>280714.09999999998</v>
      </c>
      <c r="K632" s="342">
        <f t="shared" ca="1" si="129"/>
        <v>46.498828187343264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IFERROR(__xludf.DUMMYFUNCTION("IMPORTRANGE(""https://docs.google.com/spreadsheets/d/1XL5vhW3sbDhbH9Cz0tuDiY8C3ctxq1tqvaCgkFb8cCA/edit?usp=sharing"",""หนองคาย!I528"")"),83)</f>
        <v>83</v>
      </c>
      <c r="J633" s="341">
        <f ca="1">IFERROR(__xludf.DUMMYFUNCTION("IMPORTRANGE(""https://docs.google.com/spreadsheets/d/1XL5vhW3sbDhbH9Cz0tuDiY8C3ctxq1tqvaCgkFb8cCA/edit?usp=sharing"",""หนองคาย!J528"")"),54)</f>
        <v>54</v>
      </c>
      <c r="K633" s="342">
        <f t="shared" ca="1" si="129"/>
        <v>65.060240963855421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IFERROR(__xludf.DUMMYFUNCTION("IMPORTRANGE(""https://docs.google.com/spreadsheets/d/1XL5vhW3sbDhbH9Cz0tuDiY8C3ctxq1tqvaCgkFb8cCA/edit?usp=sharing"",""หนองคาย!I529"")"),5100000)</f>
        <v>5100000</v>
      </c>
      <c r="J634" s="341">
        <f ca="1">IFERROR(__xludf.DUMMYFUNCTION("IMPORTRANGE(""https://docs.google.com/spreadsheets/d/1XL5vhW3sbDhbH9Cz0tuDiY8C3ctxq1tqvaCgkFb8cCA/edit?usp=sharing"",""หนองคาย!J529"")"),0)</f>
        <v>0</v>
      </c>
      <c r="K634" s="342">
        <f t="shared" ca="1" si="129"/>
        <v>0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IFERROR(__xludf.DUMMYFUNCTION("IMPORTRANGE(""https://docs.google.com/spreadsheets/d/1XL5vhW3sbDhbH9Cz0tuDiY8C3ctxq1tqvaCgkFb8cCA/edit?usp=sharing"",""หนองคาย!I530"")"),111)</f>
        <v>111</v>
      </c>
      <c r="J635" s="504">
        <f ca="1">IFERROR(__xludf.DUMMYFUNCTION("IMPORTRANGE(""https://docs.google.com/spreadsheets/d/1XL5vhW3sbDhbH9Cz0tuDiY8C3ctxq1tqvaCgkFb8cCA/edit?usp=sharing"",""หนองคาย!J530"")"),0)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49" t="s">
        <v>237</v>
      </c>
      <c r="F636" s="549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12" sqref="J12"/>
      <selection pane="bottomLeft" activeCell="G573" sqref="G573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56" t="s">
        <v>0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</row>
    <row r="2" spans="1:16" ht="18" customHeight="1" x14ac:dyDescent="0.35">
      <c r="A2" s="556" t="s">
        <v>270</v>
      </c>
      <c r="B2" s="556"/>
      <c r="C2" s="556"/>
      <c r="D2" s="556"/>
      <c r="E2" s="556"/>
      <c r="F2" s="556"/>
      <c r="G2" s="556"/>
      <c r="H2" s="556"/>
      <c r="I2" s="556"/>
      <c r="J2" s="556"/>
      <c r="K2" s="556"/>
      <c r="L2" s="556"/>
      <c r="M2" s="556"/>
      <c r="N2" s="556"/>
      <c r="O2" s="556"/>
      <c r="P2" s="556"/>
    </row>
    <row r="3" spans="1:16" ht="18" customHeight="1" x14ac:dyDescent="0.35">
      <c r="A3" s="556" t="s">
        <v>278</v>
      </c>
      <c r="B3" s="556"/>
      <c r="C3" s="556"/>
      <c r="D3" s="556"/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6"/>
      <c r="P3" s="55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79" t="s">
        <v>2</v>
      </c>
      <c r="B5" s="565"/>
      <c r="C5" s="565"/>
      <c r="D5" s="565"/>
      <c r="E5" s="565"/>
      <c r="F5" s="565"/>
      <c r="G5" s="566"/>
      <c r="H5" s="578" t="s">
        <v>3</v>
      </c>
      <c r="I5" s="559" t="s">
        <v>4</v>
      </c>
      <c r="J5" s="560"/>
      <c r="K5" s="561"/>
      <c r="L5" s="562" t="s">
        <v>5</v>
      </c>
      <c r="M5" s="561"/>
      <c r="N5" s="563" t="s">
        <v>6</v>
      </c>
      <c r="O5" s="560"/>
      <c r="P5" s="561"/>
    </row>
    <row r="6" spans="1:16" ht="21.75" customHeight="1" x14ac:dyDescent="0.35">
      <c r="A6" s="567"/>
      <c r="B6" s="568"/>
      <c r="C6" s="568"/>
      <c r="D6" s="568"/>
      <c r="E6" s="568"/>
      <c r="F6" s="568"/>
      <c r="G6" s="569"/>
      <c r="H6" s="55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80" t="s">
        <v>15</v>
      </c>
      <c r="B7" s="560"/>
      <c r="C7" s="560"/>
      <c r="D7" s="560"/>
      <c r="E7" s="560"/>
      <c r="F7" s="560"/>
      <c r="G7" s="561"/>
      <c r="H7" s="512"/>
      <c r="I7" s="513"/>
      <c r="J7" s="513"/>
      <c r="K7" s="514"/>
      <c r="L7" s="515"/>
      <c r="M7" s="514"/>
      <c r="N7" s="515"/>
      <c r="O7" s="516"/>
      <c r="P7" s="516"/>
    </row>
    <row r="8" spans="1:16" ht="21.75" customHeight="1" x14ac:dyDescent="0.45">
      <c r="A8" s="17"/>
      <c r="B8" s="18"/>
      <c r="C8" s="19" t="s">
        <v>16</v>
      </c>
      <c r="D8" s="571" t="s">
        <v>17</v>
      </c>
      <c r="E8" s="555"/>
      <c r="F8" s="555"/>
      <c r="G8" s="555"/>
      <c r="H8" s="20" t="s">
        <v>12</v>
      </c>
      <c r="I8" s="21"/>
      <c r="J8" s="21"/>
      <c r="K8" s="22"/>
      <c r="L8" s="23">
        <f t="shared" ref="L8:N8" ca="1" si="0">L9+L10</f>
        <v>7615441</v>
      </c>
      <c r="M8" s="23">
        <f t="shared" ca="1" si="0"/>
        <v>3511986</v>
      </c>
      <c r="N8" s="23">
        <f t="shared" ca="1" si="0"/>
        <v>4049793.5700000003</v>
      </c>
      <c r="O8" s="22">
        <f t="shared" ref="O8:O16" ca="1" si="1">IF(L8&gt;0,N8*100/L8,0)</f>
        <v>53.178713747503267</v>
      </c>
      <c r="P8" s="22">
        <f t="shared" ref="P8:P16" ca="1" si="2">IF(M8&gt;0,N8*100/M8,0)</f>
        <v>115.31348843645732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7615441</v>
      </c>
      <c r="M10" s="30">
        <f t="shared" ca="1" si="4"/>
        <v>3511986</v>
      </c>
      <c r="N10" s="30">
        <f t="shared" ca="1" si="4"/>
        <v>4049793.5700000003</v>
      </c>
      <c r="O10" s="29">
        <f t="shared" ca="1" si="1"/>
        <v>53.178713747503267</v>
      </c>
      <c r="P10" s="29">
        <f t="shared" ca="1" si="2"/>
        <v>115.31348843645732</v>
      </c>
    </row>
    <row r="11" spans="1:16" ht="21.75" customHeight="1" x14ac:dyDescent="0.45">
      <c r="A11" s="31"/>
      <c r="B11" s="32"/>
      <c r="C11" s="33" t="s">
        <v>16</v>
      </c>
      <c r="D11" s="572" t="s">
        <v>20</v>
      </c>
      <c r="E11" s="553"/>
      <c r="F11" s="55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6596341</v>
      </c>
      <c r="M12" s="38">
        <f t="shared" ca="1" si="6"/>
        <v>2492886</v>
      </c>
      <c r="N12" s="38">
        <f t="shared" ca="1" si="6"/>
        <v>3030693.5700000003</v>
      </c>
      <c r="O12" s="38">
        <f t="shared" ca="1" si="1"/>
        <v>45.945071214480876</v>
      </c>
      <c r="P12" s="38">
        <f t="shared" ca="1" si="2"/>
        <v>121.57369290051771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1887000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4709341</v>
      </c>
      <c r="M14" s="38">
        <f t="shared" si="8"/>
        <v>0</v>
      </c>
      <c r="N14" s="38">
        <f t="shared" ca="1" si="8"/>
        <v>1247536.8500000001</v>
      </c>
      <c r="O14" s="38">
        <f t="shared" ca="1" si="1"/>
        <v>26.490688399926871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2" t="s">
        <v>23</v>
      </c>
      <c r="E15" s="55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1019100</v>
      </c>
      <c r="M16" s="38">
        <f t="shared" ca="1" si="10"/>
        <v>1019100</v>
      </c>
      <c r="N16" s="38">
        <f t="shared" ca="1" si="10"/>
        <v>1019100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80" t="s">
        <v>24</v>
      </c>
      <c r="B17" s="560"/>
      <c r="C17" s="560"/>
      <c r="D17" s="560"/>
      <c r="E17" s="560"/>
      <c r="F17" s="560"/>
      <c r="G17" s="561"/>
      <c r="H17" s="512"/>
      <c r="I17" s="513"/>
      <c r="J17" s="513"/>
      <c r="K17" s="514"/>
      <c r="L17" s="515"/>
      <c r="M17" s="514"/>
      <c r="N17" s="515"/>
      <c r="O17" s="516"/>
      <c r="P17" s="516"/>
    </row>
    <row r="18" spans="1:16" ht="21.75" customHeight="1" x14ac:dyDescent="0.45">
      <c r="A18" s="17"/>
      <c r="B18" s="18"/>
      <c r="C18" s="19" t="s">
        <v>16</v>
      </c>
      <c r="D18" s="571" t="s">
        <v>17</v>
      </c>
      <c r="E18" s="555"/>
      <c r="F18" s="555"/>
      <c r="G18" s="555"/>
      <c r="H18" s="20" t="s">
        <v>12</v>
      </c>
      <c r="I18" s="21"/>
      <c r="J18" s="21"/>
      <c r="K18" s="22"/>
      <c r="L18" s="23">
        <f t="shared" ref="L18:N18" ca="1" si="11">L19+L20</f>
        <v>4154805</v>
      </c>
      <c r="M18" s="23">
        <f t="shared" ca="1" si="11"/>
        <v>3511986</v>
      </c>
      <c r="N18" s="23">
        <f t="shared" ca="1" si="11"/>
        <v>2802256.72</v>
      </c>
      <c r="O18" s="22">
        <f t="shared" ref="O18:O20" ca="1" si="12">IF(L18&gt;0,N18*100/L18,0)</f>
        <v>67.446167028296159</v>
      </c>
      <c r="P18" s="22">
        <f t="shared" ref="P18:P26" ca="1" si="13">IF(M18&gt;0,N18*100/M18,0)</f>
        <v>79.791226958194031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4154805</v>
      </c>
      <c r="M20" s="30">
        <f t="shared" ca="1" si="15"/>
        <v>3511986</v>
      </c>
      <c r="N20" s="30">
        <f t="shared" ca="1" si="15"/>
        <v>2802256.72</v>
      </c>
      <c r="O20" s="29">
        <f t="shared" ca="1" si="12"/>
        <v>67.446167028296159</v>
      </c>
      <c r="P20" s="29">
        <f t="shared" ca="1" si="13"/>
        <v>79.791226958194031</v>
      </c>
    </row>
    <row r="21" spans="1:16" ht="21.75" customHeight="1" x14ac:dyDescent="0.45">
      <c r="A21" s="31"/>
      <c r="B21" s="32"/>
      <c r="C21" s="33" t="s">
        <v>16</v>
      </c>
      <c r="D21" s="572" t="s">
        <v>20</v>
      </c>
      <c r="E21" s="553"/>
      <c r="F21" s="55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3135705</v>
      </c>
      <c r="M22" s="41">
        <f t="shared" ca="1" si="18"/>
        <v>2492886</v>
      </c>
      <c r="N22" s="38">
        <f t="shared" ca="1" si="18"/>
        <v>1783156.7200000002</v>
      </c>
      <c r="O22" s="38">
        <f t="shared" ca="1" si="17"/>
        <v>56.866214136852804</v>
      </c>
      <c r="P22" s="38">
        <f t="shared" ca="1" si="13"/>
        <v>71.529814038828903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1887000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1248705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2" t="s">
        <v>23</v>
      </c>
      <c r="E25" s="55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1019100</v>
      </c>
      <c r="M26" s="49">
        <f t="shared" ca="1" si="22"/>
        <v>1019100</v>
      </c>
      <c r="N26" s="49">
        <f t="shared" ca="1" si="22"/>
        <v>1019100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80" t="s">
        <v>25</v>
      </c>
      <c r="B27" s="560"/>
      <c r="C27" s="560"/>
      <c r="D27" s="560"/>
      <c r="E27" s="560"/>
      <c r="F27" s="560"/>
      <c r="G27" s="561"/>
      <c r="H27" s="512"/>
      <c r="I27" s="513"/>
      <c r="J27" s="513"/>
      <c r="K27" s="514"/>
      <c r="L27" s="515"/>
      <c r="M27" s="514"/>
      <c r="N27" s="515"/>
      <c r="O27" s="516"/>
      <c r="P27" s="516"/>
    </row>
    <row r="28" spans="1:16" ht="21.75" customHeight="1" x14ac:dyDescent="0.45">
      <c r="A28" s="17"/>
      <c r="B28" s="18"/>
      <c r="C28" s="19" t="s">
        <v>16</v>
      </c>
      <c r="D28" s="571" t="s">
        <v>17</v>
      </c>
      <c r="E28" s="555"/>
      <c r="F28" s="555"/>
      <c r="G28" s="555"/>
      <c r="H28" s="20" t="s">
        <v>12</v>
      </c>
      <c r="I28" s="21"/>
      <c r="J28" s="21"/>
      <c r="K28" s="22"/>
      <c r="L28" s="23">
        <f t="shared" ref="L28:N28" ca="1" si="23">L29+L30</f>
        <v>3460636</v>
      </c>
      <c r="M28" s="23">
        <f t="shared" si="23"/>
        <v>0</v>
      </c>
      <c r="N28" s="23">
        <f t="shared" ca="1" si="23"/>
        <v>1247536.8500000001</v>
      </c>
      <c r="O28" s="22">
        <f t="shared" ref="O28:O30" ca="1" si="24">IF(L28&gt;0,N28*100/L28,0)</f>
        <v>36.049351911036013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3460636</v>
      </c>
      <c r="M30" s="30">
        <f t="shared" si="27"/>
        <v>0</v>
      </c>
      <c r="N30" s="30">
        <f t="shared" ca="1" si="27"/>
        <v>1247536.8500000001</v>
      </c>
      <c r="O30" s="29">
        <f t="shared" ca="1" si="24"/>
        <v>36.049351911036013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2" t="s">
        <v>20</v>
      </c>
      <c r="E31" s="553"/>
      <c r="F31" s="55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3460636</v>
      </c>
      <c r="M32" s="38">
        <f t="shared" si="30"/>
        <v>0</v>
      </c>
      <c r="N32" s="38">
        <f t="shared" ca="1" si="30"/>
        <v>1247536.8500000001</v>
      </c>
      <c r="O32" s="38">
        <f t="shared" ca="1" si="29"/>
        <v>36.049351911036013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3460636</v>
      </c>
      <c r="M34" s="38">
        <f t="shared" si="32"/>
        <v>0</v>
      </c>
      <c r="N34" s="38">
        <f t="shared" ca="1" si="32"/>
        <v>1247536.8500000001</v>
      </c>
      <c r="O34" s="38">
        <f t="shared" ca="1" si="29"/>
        <v>36.049351911036013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2" t="s">
        <v>23</v>
      </c>
      <c r="E35" s="55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4154805</v>
      </c>
      <c r="M37" s="54">
        <f t="shared" ca="1" si="33"/>
        <v>3511986</v>
      </c>
      <c r="N37" s="54">
        <f t="shared" ca="1" si="33"/>
        <v>2802256.72</v>
      </c>
      <c r="O37" s="55">
        <f t="shared" ca="1" si="29"/>
        <v>67.446167028296159</v>
      </c>
      <c r="P37" s="55">
        <f t="shared" ca="1" si="25"/>
        <v>79.791226958194031</v>
      </c>
    </row>
    <row r="38" spans="1:16" ht="21.75" customHeight="1" x14ac:dyDescent="0.45">
      <c r="A38" s="581" t="s">
        <v>27</v>
      </c>
      <c r="B38" s="560"/>
      <c r="C38" s="560"/>
      <c r="D38" s="560"/>
      <c r="E38" s="560"/>
      <c r="F38" s="560"/>
      <c r="G38" s="561"/>
      <c r="H38" s="517"/>
      <c r="I38" s="518"/>
      <c r="J38" s="518"/>
      <c r="K38" s="519"/>
      <c r="L38" s="520"/>
      <c r="M38" s="520"/>
      <c r="N38" s="520"/>
      <c r="O38" s="520"/>
      <c r="P38" s="520"/>
    </row>
    <row r="39" spans="1:16" ht="21.75" customHeight="1" x14ac:dyDescent="0.45">
      <c r="A39" s="521"/>
      <c r="B39" s="582" t="s">
        <v>28</v>
      </c>
      <c r="C39" s="555"/>
      <c r="D39" s="555"/>
      <c r="E39" s="555"/>
      <c r="F39" s="555"/>
      <c r="G39" s="555"/>
      <c r="H39" s="522"/>
      <c r="I39" s="523"/>
      <c r="J39" s="523"/>
      <c r="K39" s="524"/>
      <c r="L39" s="525"/>
      <c r="M39" s="525"/>
      <c r="N39" s="525"/>
      <c r="O39" s="524"/>
      <c r="P39" s="524"/>
    </row>
    <row r="40" spans="1:16" ht="21.75" customHeight="1" x14ac:dyDescent="0.45">
      <c r="A40" s="526"/>
      <c r="B40" s="527" t="s">
        <v>29</v>
      </c>
      <c r="C40" s="528"/>
      <c r="D40" s="528"/>
      <c r="E40" s="528"/>
      <c r="F40" s="528"/>
      <c r="G40" s="528"/>
      <c r="H40" s="529"/>
      <c r="I40" s="530"/>
      <c r="J40" s="530"/>
      <c r="K40" s="531"/>
      <c r="L40" s="532"/>
      <c r="M40" s="532"/>
      <c r="N40" s="532"/>
      <c r="O40" s="531"/>
      <c r="P40" s="531"/>
    </row>
    <row r="41" spans="1:16" ht="21.75" customHeight="1" x14ac:dyDescent="0.45">
      <c r="A41" s="72"/>
      <c r="B41" s="73"/>
      <c r="C41" s="74" t="s">
        <v>16</v>
      </c>
      <c r="D41" s="575" t="s">
        <v>17</v>
      </c>
      <c r="E41" s="553"/>
      <c r="F41" s="553"/>
      <c r="G41" s="553"/>
      <c r="H41" s="75" t="s">
        <v>12</v>
      </c>
      <c r="I41" s="76"/>
      <c r="J41" s="76"/>
      <c r="K41" s="77"/>
      <c r="L41" s="78">
        <f t="shared" ref="L41:N41" ca="1" si="34">L42+L43</f>
        <v>1619300</v>
      </c>
      <c r="M41" s="78">
        <f t="shared" ca="1" si="34"/>
        <v>1457000</v>
      </c>
      <c r="N41" s="78">
        <f t="shared" ca="1" si="34"/>
        <v>1236963.6499999999</v>
      </c>
      <c r="O41" s="77">
        <f t="shared" ref="O41:O43" ca="1" si="35">IF(L41&gt;0,N41*100/L41,0)</f>
        <v>76.388788365343046</v>
      </c>
      <c r="P41" s="77">
        <f t="shared" ref="P41:P43" ca="1" si="36">IF(M41&gt;0,N41*100/M41,0)</f>
        <v>84.89798558682223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1619300</v>
      </c>
      <c r="M43" s="78">
        <f t="shared" ca="1" si="38"/>
        <v>1457000</v>
      </c>
      <c r="N43" s="78">
        <f t="shared" ca="1" si="38"/>
        <v>1236963.6499999999</v>
      </c>
      <c r="O43" s="77">
        <f t="shared" ca="1" si="35"/>
        <v>76.388788365343046</v>
      </c>
      <c r="P43" s="77">
        <f t="shared" ca="1" si="36"/>
        <v>84.89798558682223</v>
      </c>
    </row>
    <row r="44" spans="1:16" ht="21.75" customHeight="1" x14ac:dyDescent="0.45">
      <c r="A44" s="79"/>
      <c r="B44" s="80"/>
      <c r="C44" s="81" t="s">
        <v>16</v>
      </c>
      <c r="D44" s="552" t="s">
        <v>20</v>
      </c>
      <c r="E44" s="553"/>
      <c r="F44" s="55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649100</v>
      </c>
      <c r="M45" s="533">
        <f ca="1">IFERROR(__xludf.DUMMYFUNCTION("IMPORTRANGE(""https://docs.google.com/spreadsheets/d/1Yj_ptqi66GCucihVvJfMjLAmec39IyEx_6qawtMGysU/edit?usp=sharing"",""สบก!Q54"")"),486800)</f>
        <v>486800</v>
      </c>
      <c r="N45" s="533">
        <f ca="1">IFERROR(__xludf.DUMMYFUNCTION("IMPORTRANGE(""https://docs.google.com/spreadsheets/d/1Yj_ptqi66GCucihVvJfMjLAmec39IyEx_6qawtMGysU/edit?usp=sharing"",""สบก!R54"")"),266763.65)</f>
        <v>266763.65000000002</v>
      </c>
      <c r="O45" s="534">
        <f ca="1">IF(L45&gt;0,N45*100/L45,0)</f>
        <v>41.097465721768607</v>
      </c>
      <c r="P45" s="534">
        <f ca="1">IF(M45&gt;0,N45*100/M45,0)</f>
        <v>54.79943508627774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533">
        <f ca="1">IFERROR(__xludf.DUMMYFUNCTION("IMPORTRANGE(""https://docs.google.com/spreadsheets/d/1Yj_ptqi66GCucihVvJfMjLAmec39IyEx_6qawtMGysU/edit?usp=sharing"",""สบก!M54"")"),649100)</f>
        <v>649100</v>
      </c>
      <c r="M46" s="535"/>
      <c r="N46" s="38"/>
      <c r="O46" s="534"/>
      <c r="P46" s="534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533">
        <f ca="1">IFERROR(__xludf.DUMMYFUNCTION("IMPORTRANGE(""https://docs.google.com/spreadsheets/d/1Yj_ptqi66GCucihVvJfMjLAmec39IyEx_6qawtMGysU/edit?usp=sharing"",""สบก!N54"")"),0)</f>
        <v>0</v>
      </c>
      <c r="M47" s="535"/>
      <c r="N47" s="38"/>
      <c r="O47" s="534"/>
      <c r="P47" s="534"/>
    </row>
    <row r="48" spans="1:16" ht="21.75" customHeight="1" x14ac:dyDescent="0.45">
      <c r="A48" s="79"/>
      <c r="B48" s="80"/>
      <c r="C48" s="81" t="s">
        <v>16</v>
      </c>
      <c r="D48" s="552" t="s">
        <v>23</v>
      </c>
      <c r="E48" s="55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535"/>
      <c r="N48" s="41"/>
      <c r="O48" s="535"/>
      <c r="P48" s="535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33">
        <f ca="1">IFERROR(__xludf.DUMMYFUNCTION("IMPORTRANGE(""https://docs.google.com/spreadsheets/d/1Yj_ptqi66GCucihVvJfMjLAmec39IyEx_6qawtMGysU/edit?usp=sharing"",""สบก!O54"")"),970200)</f>
        <v>970200</v>
      </c>
      <c r="M49" s="536">
        <f ca="1">L49</f>
        <v>970200</v>
      </c>
      <c r="N49" s="533">
        <f ca="1">IFERROR(__xludf.DUMMYFUNCTION("IMPORTRANGE(""https://docs.google.com/spreadsheets/d/1Yj_ptqi66GCucihVvJfMjLAmec39IyEx_6qawtMGysU/edit?usp=sharing"",""สบก!S54"")"),970200)</f>
        <v>970200</v>
      </c>
      <c r="O49" s="536">
        <f ca="1">IF(L49&gt;0,N49*100/L49,0)</f>
        <v>100</v>
      </c>
      <c r="P49" s="536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76" t="s">
        <v>32</v>
      </c>
      <c r="C52" s="553"/>
      <c r="D52" s="553"/>
      <c r="E52" s="553"/>
      <c r="F52" s="553"/>
      <c r="G52" s="55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77" t="s">
        <v>17</v>
      </c>
      <c r="E53" s="553"/>
      <c r="F53" s="553"/>
      <c r="G53" s="553"/>
      <c r="H53" s="118" t="s">
        <v>12</v>
      </c>
      <c r="I53" s="119"/>
      <c r="J53" s="119"/>
      <c r="K53" s="120"/>
      <c r="L53" s="121">
        <f t="shared" ref="L53:N53" ca="1" si="39">L54+L55</f>
        <v>604800</v>
      </c>
      <c r="M53" s="121">
        <f t="shared" ca="1" si="39"/>
        <v>474536</v>
      </c>
      <c r="N53" s="121">
        <f t="shared" ca="1" si="39"/>
        <v>405548</v>
      </c>
      <c r="O53" s="120">
        <f t="shared" ref="O53:O55" ca="1" si="40">IF(L53&gt;0,N53*100/L53,0)</f>
        <v>67.054894179894177</v>
      </c>
      <c r="P53" s="120">
        <f t="shared" ref="P53:P55" ca="1" si="41">IF(M53&gt;0,N53*100/M53,0)</f>
        <v>85.462009204781097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604800</v>
      </c>
      <c r="M55" s="121">
        <f t="shared" ca="1" si="43"/>
        <v>474536</v>
      </c>
      <c r="N55" s="121">
        <f t="shared" ca="1" si="43"/>
        <v>405548</v>
      </c>
      <c r="O55" s="120">
        <f t="shared" ca="1" si="40"/>
        <v>67.054894179894177</v>
      </c>
      <c r="P55" s="120">
        <f t="shared" ca="1" si="41"/>
        <v>85.462009204781097</v>
      </c>
    </row>
    <row r="56" spans="1:16" ht="21.75" customHeight="1" x14ac:dyDescent="0.45">
      <c r="A56" s="79"/>
      <c r="B56" s="80"/>
      <c r="C56" s="81" t="s">
        <v>16</v>
      </c>
      <c r="D56" s="552" t="s">
        <v>20</v>
      </c>
      <c r="E56" s="553"/>
      <c r="F56" s="55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604800</v>
      </c>
      <c r="M57" s="533">
        <f ca="1">IFERROR(__xludf.DUMMYFUNCTION("IMPORTRANGE(""https://docs.google.com/spreadsheets/d/1Yj_ptqi66GCucihVvJfMjLAmec39IyEx_6qawtMGysU/edit?usp=sharing"",""สบก!Z54"")"),474536)</f>
        <v>474536</v>
      </c>
      <c r="N57" s="533">
        <f ca="1">IFERROR(__xludf.DUMMYFUNCTION("IMPORTRANGE(""https://docs.google.com/spreadsheets/d/1Yj_ptqi66GCucihVvJfMjLAmec39IyEx_6qawtMGysU/edit?usp=sharing"",""สบก!AA54"")"),405548)</f>
        <v>405548</v>
      </c>
      <c r="O57" s="534">
        <f ca="1">IF(L57&gt;0,N57*100/L57,0)</f>
        <v>67.054894179894177</v>
      </c>
      <c r="P57" s="534">
        <f ca="1">IF(M57&gt;0,N57*100/M57,0)</f>
        <v>85.462009204781097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533">
        <f ca="1">IFERROR(__xludf.DUMMYFUNCTION("IMPORTRANGE(""https://docs.google.com/spreadsheets/d/1Yj_ptqi66GCucihVvJfMjLAmec39IyEx_6qawtMGysU/edit?usp=sharing"",""สบก!V54"")"),604800)</f>
        <v>604800</v>
      </c>
      <c r="M58" s="535"/>
      <c r="N58" s="38"/>
      <c r="O58" s="534"/>
      <c r="P58" s="534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533">
        <f ca="1">IFERROR(__xludf.DUMMYFUNCTION("IMPORTRANGE(""https://docs.google.com/spreadsheets/d/1Yj_ptqi66GCucihVvJfMjLAmec39IyEx_6qawtMGysU/edit?usp=sharing"",""สบก!W54"")"),0)</f>
        <v>0</v>
      </c>
      <c r="M59" s="535"/>
      <c r="N59" s="38"/>
      <c r="O59" s="534"/>
      <c r="P59" s="534"/>
    </row>
    <row r="60" spans="1:16" ht="21.75" customHeight="1" x14ac:dyDescent="0.45">
      <c r="A60" s="79"/>
      <c r="B60" s="80"/>
      <c r="C60" s="81" t="s">
        <v>16</v>
      </c>
      <c r="D60" s="552" t="s">
        <v>23</v>
      </c>
      <c r="E60" s="55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535"/>
      <c r="N60" s="41"/>
      <c r="O60" s="535"/>
      <c r="P60" s="535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33">
        <f ca="1">IFERROR(__xludf.DUMMYFUNCTION("IMPORTRANGE(""https://docs.google.com/spreadsheets/d/1Yj_ptqi66GCucihVvJfMjLAmec39IyEx_6qawtMGysU/edit?usp=sharing"",""สบก!X54"")"),0)</f>
        <v>0</v>
      </c>
      <c r="M61" s="536"/>
      <c r="N61" s="533">
        <f ca="1">IFERROR(__xludf.DUMMYFUNCTION("IMPORTRANGE(""https://docs.google.com/spreadsheets/d/1Yj_ptqi66GCucihVvJfMjLAmec39IyEx_6qawtMGysU/edit?usp=sharing"",""สบก!AB54"")"),0)</f>
        <v>0</v>
      </c>
      <c r="O61" s="536">
        <f ca="1">IF(L61&gt;0,N61*100/L61,0)</f>
        <v>0</v>
      </c>
      <c r="P61" s="536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IFERROR(__xludf.DUMMYFUNCTION("IMPORTRANGE(""https://docs.google.com/spreadsheets/d/1XL5vhW3sbDhbH9Cz0tuDiY8C3ctxq1tqvaCgkFb8cCA/edit?usp=sharing"",""หนองบัวลำภู!I9"")"),1)</f>
        <v>1</v>
      </c>
      <c r="J64" s="142">
        <f ca="1">IFERROR(__xludf.DUMMYFUNCTION("IMPORTRANGE(""https://docs.google.com/spreadsheets/d/1XL5vhW3sbDhbH9Cz0tuDiY8C3ctxq1tqvaCgkFb8cCA/edit?usp=sharing"",""หนองบัวลำภู!J9"")"),1)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IFERROR(__xludf.DUMMYFUNCTION("IMPORTRANGE(""https://docs.google.com/spreadsheets/d/1XL5vhW3sbDhbH9Cz0tuDiY8C3ctxq1tqvaCgkFb8cCA/edit?usp=sharing"",""หนองบัวลำภู!I10"")"),30)</f>
        <v>30</v>
      </c>
      <c r="J65" s="142">
        <f ca="1">IFERROR(__xludf.DUMMYFUNCTION("IMPORTRANGE(""https://docs.google.com/spreadsheets/d/1XL5vhW3sbDhbH9Cz0tuDiY8C3ctxq1tqvaCgkFb8cCA/edit?usp=sharing"",""หนองบัวลำภู!J10"")"),30)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54" t="s">
        <v>17</v>
      </c>
      <c r="E66" s="555"/>
      <c r="F66" s="555"/>
      <c r="G66" s="555"/>
      <c r="H66" s="149" t="s">
        <v>12</v>
      </c>
      <c r="I66" s="150"/>
      <c r="J66" s="150"/>
      <c r="K66" s="151"/>
      <c r="L66" s="152">
        <f t="shared" ref="L66:N66" ca="1" si="45">L67+L68</f>
        <v>614000</v>
      </c>
      <c r="M66" s="152">
        <f t="shared" ca="1" si="45"/>
        <v>493620</v>
      </c>
      <c r="N66" s="152">
        <f t="shared" ca="1" si="45"/>
        <v>334668.96999999997</v>
      </c>
      <c r="O66" s="151">
        <f t="shared" ref="O66:O68" ca="1" si="46">IF(L66&gt;0,N66*100/L66,0)</f>
        <v>54.506346905537455</v>
      </c>
      <c r="P66" s="151">
        <f t="shared" ref="P66:P68" ca="1" si="47">IF(M66&gt;0,N66*100/M66,0)</f>
        <v>67.798908066934075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614000</v>
      </c>
      <c r="M68" s="157">
        <f t="shared" ca="1" si="49"/>
        <v>493620</v>
      </c>
      <c r="N68" s="157">
        <f t="shared" ca="1" si="49"/>
        <v>334668.96999999997</v>
      </c>
      <c r="O68" s="156">
        <f t="shared" ca="1" si="46"/>
        <v>54.506346905537455</v>
      </c>
      <c r="P68" s="156">
        <f t="shared" ca="1" si="47"/>
        <v>67.798908066934075</v>
      </c>
    </row>
    <row r="69" spans="1:16" ht="21.75" customHeight="1" x14ac:dyDescent="0.45">
      <c r="A69" s="158"/>
      <c r="B69" s="159"/>
      <c r="C69" s="159" t="s">
        <v>16</v>
      </c>
      <c r="D69" s="552" t="s">
        <v>20</v>
      </c>
      <c r="E69" s="553"/>
      <c r="F69" s="55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614000</v>
      </c>
      <c r="M70" s="537">
        <f ca="1">IFERROR(__xludf.DUMMYFUNCTION("IMPORTRANGE(""https://docs.google.com/spreadsheets/d/1Yj_ptqi66GCucihVvJfMjLAmec39IyEx_6qawtMGysU/edit?usp=sharing"",""สบก!AI54"")"),493620)</f>
        <v>493620</v>
      </c>
      <c r="N70" s="538">
        <f ca="1">IFERROR(__xludf.DUMMYFUNCTION("IMPORTRANGE(""https://docs.google.com/spreadsheets/d/1Yj_ptqi66GCucihVvJfMjLAmec39IyEx_6qawtMGysU/edit?usp=sharing"",""สบก!AJ54"")"),334668.97)</f>
        <v>334668.96999999997</v>
      </c>
      <c r="O70" s="169">
        <f ca="1">IF(L70&gt;0,N70*100/L70,0)</f>
        <v>54.506346905537455</v>
      </c>
      <c r="P70" s="169">
        <f ca="1">IF(M70&gt;0,N70*100/M70,0)</f>
        <v>67.798908066934075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537">
        <f ca="1">IFERROR(__xludf.DUMMYFUNCTION("IMPORTRANGE(""https://docs.google.com/spreadsheets/d/1Yj_ptqi66GCucihVvJfMjLAmec39IyEx_6qawtMGysU/edit?usp=sharing"",""สบก!AE54"")"),232000)</f>
        <v>232000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537">
        <f ca="1">IFERROR(__xludf.DUMMYFUNCTION("IMPORTRANGE(""https://docs.google.com/spreadsheets/d/1Yj_ptqi66GCucihVvJfMjLAmec39IyEx_6qawtMGysU/edit?usp=sharing"",""สบก!AF54"")"),382000)</f>
        <v>382000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52" t="s">
        <v>23</v>
      </c>
      <c r="E73" s="553"/>
      <c r="F73" s="89"/>
      <c r="G73" s="82" t="s">
        <v>18</v>
      </c>
      <c r="H73" s="172" t="s">
        <v>12</v>
      </c>
      <c r="I73" s="84"/>
      <c r="J73" s="84"/>
      <c r="K73" s="85"/>
      <c r="L73" s="535">
        <v>0</v>
      </c>
      <c r="M73" s="535"/>
      <c r="N73" s="41"/>
      <c r="O73" s="535"/>
      <c r="P73" s="535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533">
        <f ca="1">IFERROR(__xludf.DUMMYFUNCTION("IMPORTRANGE(""https://docs.google.com/spreadsheets/d/1Yj_ptqi66GCucihVvJfMjLAmec39IyEx_6qawtMGysU/edit?usp=sharing"",""สบก!AG54"")"),0)</f>
        <v>0</v>
      </c>
      <c r="M74" s="536"/>
      <c r="N74" s="533">
        <f ca="1">IFERROR(__xludf.DUMMYFUNCTION("IMPORTRANGE(""https://docs.google.com/spreadsheets/d/1Yj_ptqi66GCucihVvJfMjLAmec39IyEx_6qawtMGysU/edit?usp=sharing"",""สบก!AK54"")"),0)</f>
        <v>0</v>
      </c>
      <c r="O74" s="536">
        <f ca="1">IF(L74&gt;0,N74*100/L74,0)</f>
        <v>0</v>
      </c>
      <c r="P74" s="536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IFERROR(__xludf.DUMMYFUNCTION("IMPORTRANGE(""https://docs.google.com/spreadsheets/d/1XL5vhW3sbDhbH9Cz0tuDiY8C3ctxq1tqvaCgkFb8cCA/edit?usp=sharing"",""หนองบัวลำภู!J16"")"),0)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IFERROR(__xludf.DUMMYFUNCTION("IMPORTRANGE(""https://docs.google.com/spreadsheets/d/1XL5vhW3sbDhbH9Cz0tuDiY8C3ctxq1tqvaCgkFb8cCA/edit?usp=sharing"",""หนองบัวลำภู!J17"")"),1)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IFERROR(__xludf.DUMMYFUNCTION("IMPORTRANGE(""https://docs.google.com/spreadsheets/d/1XL5vhW3sbDhbH9Cz0tuDiY8C3ctxq1tqvaCgkFb8cCA/edit?usp=sharing"",""หนองบัวลำภู!J18"")"),1)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IFERROR(__xludf.DUMMYFUNCTION("IMPORTRANGE(""https://docs.google.com/spreadsheets/d/1XL5vhW3sbDhbH9Cz0tuDiY8C3ctxq1tqvaCgkFb8cCA/edit?usp=sharing"",""หนองบัวลำภู!J19"")"),1)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IFERROR(__xludf.DUMMYFUNCTION("IMPORTRANGE(""https://docs.google.com/spreadsheets/d/1XL5vhW3sbDhbH9Cz0tuDiY8C3ctxq1tqvaCgkFb8cCA/edit?usp=sharing"",""หนองบัวลำภู!I20"")"),1)</f>
        <v>1</v>
      </c>
      <c r="J80" s="201">
        <f ca="1">IFERROR(__xludf.DUMMYFUNCTION("IMPORTRANGE(""https://docs.google.com/spreadsheets/d/1XL5vhW3sbDhbH9Cz0tuDiY8C3ctxq1tqvaCgkFb8cCA/edit?usp=sharing"",""หนองบัวลำภู!J20"")"),1)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IFERROR(__xludf.DUMMYFUNCTION("IMPORTRANGE(""https://docs.google.com/spreadsheets/d/1XL5vhW3sbDhbH9Cz0tuDiY8C3ctxq1tqvaCgkFb8cCA/edit?usp=sharing"",""หนองบัวลำภู!I21"")"),30)</f>
        <v>30</v>
      </c>
      <c r="J81" s="201">
        <f ca="1">IFERROR(__xludf.DUMMYFUNCTION("IMPORTRANGE(""https://docs.google.com/spreadsheets/d/1XL5vhW3sbDhbH9Cz0tuDiY8C3ctxq1tqvaCgkFb8cCA/edit?usp=sharing"",""หนองบัวลำภู!J21"")"),30)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IFERROR(__xludf.DUMMYFUNCTION("IMPORTRANGE(""https://docs.google.com/spreadsheets/d/1XL5vhW3sbDhbH9Cz0tuDiY8C3ctxq1tqvaCgkFb8cCA/edit?usp=sharing"",""หนองบัวลำภู!I22"")"),1)</f>
        <v>1</v>
      </c>
      <c r="J82" s="204">
        <f ca="1">IFERROR(__xludf.DUMMYFUNCTION("IMPORTRANGE(""https://docs.google.com/spreadsheets/d/1XL5vhW3sbDhbH9Cz0tuDiY8C3ctxq1tqvaCgkFb8cCA/edit?usp=sharing"",""หนองบัวลำภู!J22"")"),1)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IFERROR(__xludf.DUMMYFUNCTION("IMPORTRANGE(""https://docs.google.com/spreadsheets/d/1XL5vhW3sbDhbH9Cz0tuDiY8C3ctxq1tqvaCgkFb8cCA/edit?usp=sharing"",""หนองบัวลำภู!I23"")"),30)</f>
        <v>30</v>
      </c>
      <c r="J83" s="204">
        <f ca="1">IFERROR(__xludf.DUMMYFUNCTION("IMPORTRANGE(""https://docs.google.com/spreadsheets/d/1XL5vhW3sbDhbH9Cz0tuDiY8C3ctxq1tqvaCgkFb8cCA/edit?usp=sharing"",""หนองบัวลำภู!J23"")"),30)</f>
        <v>30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IFERROR(__xludf.DUMMYFUNCTION("IMPORTRANGE(""https://docs.google.com/spreadsheets/d/1XL5vhW3sbDhbH9Cz0tuDiY8C3ctxq1tqvaCgkFb8cCA/edit?usp=sharing"",""หนองบัวลำภู!I24"")"),0)</f>
        <v>0</v>
      </c>
      <c r="J84" s="189">
        <f ca="1">IFERROR(__xludf.DUMMYFUNCTION("IMPORTRANGE(""https://docs.google.com/spreadsheets/d/1XL5vhW3sbDhbH9Cz0tuDiY8C3ctxq1tqvaCgkFb8cCA/edit?usp=sharing"",""หนองบัวลำภู!J24"")"),0)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IFERROR(__xludf.DUMMYFUNCTION("IMPORTRANGE(""https://docs.google.com/spreadsheets/d/1XL5vhW3sbDhbH9Cz0tuDiY8C3ctxq1tqvaCgkFb8cCA/edit?usp=sharing"",""หนองบัวลำภู!I25"")"),0)</f>
        <v>0</v>
      </c>
      <c r="J85" s="189">
        <f ca="1">IFERROR(__xludf.DUMMYFUNCTION("IMPORTRANGE(""https://docs.google.com/spreadsheets/d/1XL5vhW3sbDhbH9Cz0tuDiY8C3ctxq1tqvaCgkFb8cCA/edit?usp=sharing"",""หนองบัวลำภู!J25"")"),0)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IFERROR(__xludf.DUMMYFUNCTION("IMPORTRANGE(""https://docs.google.com/spreadsheets/d/1XL5vhW3sbDhbH9Cz0tuDiY8C3ctxq1tqvaCgkFb8cCA/edit?usp=sharing"",""หนองบัวลำภู!I26"")"),0)</f>
        <v>0</v>
      </c>
      <c r="J86" s="204">
        <f ca="1">IFERROR(__xludf.DUMMYFUNCTION("IMPORTRANGE(""https://docs.google.com/spreadsheets/d/1XL5vhW3sbDhbH9Cz0tuDiY8C3ctxq1tqvaCgkFb8cCA/edit?usp=sharing"",""หนองบัวลำภู!J26"")"),0)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IFERROR(__xludf.DUMMYFUNCTION("IMPORTRANGE(""https://docs.google.com/spreadsheets/d/1XL5vhW3sbDhbH9Cz0tuDiY8C3ctxq1tqvaCgkFb8cCA/edit?usp=sharing"",""หนองบัวลำภู!I27"")"),0)</f>
        <v>0</v>
      </c>
      <c r="J87" s="204">
        <f ca="1">IFERROR(__xludf.DUMMYFUNCTION("IMPORTRANGE(""https://docs.google.com/spreadsheets/d/1XL5vhW3sbDhbH9Cz0tuDiY8C3ctxq1tqvaCgkFb8cCA/edit?usp=sharing"",""หนองบัวลำภู!J27"")"),0)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IFERROR(__xludf.DUMMYFUNCTION("IMPORTRANGE(""https://docs.google.com/spreadsheets/d/1XL5vhW3sbDhbH9Cz0tuDiY8C3ctxq1tqvaCgkFb8cCA/edit?usp=sharing"",""หนองบัวลำภู!I28"")"),30)</f>
        <v>30</v>
      </c>
      <c r="J88" s="204">
        <f ca="1">IFERROR(__xludf.DUMMYFUNCTION("IMPORTRANGE(""https://docs.google.com/spreadsheets/d/1XL5vhW3sbDhbH9Cz0tuDiY8C3ctxq1tqvaCgkFb8cCA/edit?usp=sharing"",""หนองบัวลำภู!J28"")"),30)</f>
        <v>30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IFERROR(__xludf.DUMMYFUNCTION("IMPORTRANGE(""https://docs.google.com/spreadsheets/d/1XL5vhW3sbDhbH9Cz0tuDiY8C3ctxq1tqvaCgkFb8cCA/edit?usp=sharing"",""หนองบัวลำภู!J29"")"),0)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IFERROR(__xludf.DUMMYFUNCTION("IMPORTRANGE(""https://docs.google.com/spreadsheets/d/1XL5vhW3sbDhbH9Cz0tuDiY8C3ctxq1tqvaCgkFb8cCA/edit?usp=sharing"",""หนองบัวลำภู!J30"")"),0)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IFERROR(__xludf.DUMMYFUNCTION("IMPORTRANGE(""https://docs.google.com/spreadsheets/d/1XL5vhW3sbDhbH9Cz0tuDiY8C3ctxq1tqvaCgkFb8cCA/edit?usp=sharing"",""หนองบัวลำภู!I32"")"),0)</f>
        <v>0</v>
      </c>
      <c r="J92" s="142">
        <f ca="1">IFERROR(__xludf.DUMMYFUNCTION("IMPORTRANGE(""https://docs.google.com/spreadsheets/d/1XL5vhW3sbDhbH9Cz0tuDiY8C3ctxq1tqvaCgkFb8cCA/edit?usp=sharing"",""หนองบัวลำภู!J32"")"),0)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IFERROR(__xludf.DUMMYFUNCTION("IMPORTRANGE(""https://docs.google.com/spreadsheets/d/1XL5vhW3sbDhbH9Cz0tuDiY8C3ctxq1tqvaCgkFb8cCA/edit?usp=sharing"",""หนองบัวลำภู!I33"")"),0)</f>
        <v>0</v>
      </c>
      <c r="J93" s="142">
        <f ca="1">IFERROR(__xludf.DUMMYFUNCTION("IMPORTRANGE(""https://docs.google.com/spreadsheets/d/1XL5vhW3sbDhbH9Cz0tuDiY8C3ctxq1tqvaCgkFb8cCA/edit?usp=sharing"",""หนองบัวลำภู!J33"")"),0)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54" t="s">
        <v>17</v>
      </c>
      <c r="E94" s="555"/>
      <c r="F94" s="555"/>
      <c r="G94" s="55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52" t="s">
        <v>20</v>
      </c>
      <c r="E97" s="553"/>
      <c r="F97" s="55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537">
        <f ca="1">IFERROR(__xludf.DUMMYFUNCTION("IMPORTRANGE(""https://docs.google.com/spreadsheets/d/1Yj_ptqi66GCucihVvJfMjLAmec39IyEx_6qawtMGysU/edit?usp=sharing"",""สบก!AR54"")"),0)</f>
        <v>0</v>
      </c>
      <c r="N98" s="538">
        <f ca="1">IFERROR(__xludf.DUMMYFUNCTION("IMPORTRANGE(""https://docs.google.com/spreadsheets/d/1Yj_ptqi66GCucihVvJfMjLAmec39IyEx_6qawtMGysU/edit?usp=sharing"",""สบก!AS54"")"),0)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537">
        <f ca="1">IFERROR(__xludf.DUMMYFUNCTION("IMPORTRANGE(""https://docs.google.com/spreadsheets/d/1Yj_ptqi66GCucihVvJfMjLAmec39IyEx_6qawtMGysU/edit?usp=sharing"",""สบก!AN54"")"),0)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537">
        <f ca="1">IFERROR(__xludf.DUMMYFUNCTION("IMPORTRANGE(""https://docs.google.com/spreadsheets/d/1Yj_ptqi66GCucihVvJfMjLAmec39IyEx_6qawtMGysU/edit?usp=sharing"",""สบก!AO54"")"),0)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52" t="s">
        <v>23</v>
      </c>
      <c r="E101" s="553"/>
      <c r="F101" s="89"/>
      <c r="G101" s="82" t="s">
        <v>18</v>
      </c>
      <c r="H101" s="172" t="s">
        <v>12</v>
      </c>
      <c r="I101" s="188"/>
      <c r="J101" s="188"/>
      <c r="K101" s="224"/>
      <c r="L101" s="535">
        <v>0</v>
      </c>
      <c r="M101" s="535"/>
      <c r="N101" s="41"/>
      <c r="O101" s="535"/>
      <c r="P101" s="535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533">
        <f ca="1">IFERROR(__xludf.DUMMYFUNCTION("IMPORTRANGE(""https://docs.google.com/spreadsheets/d/1Yj_ptqi66GCucihVvJfMjLAmec39IyEx_6qawtMGysU/edit?usp=sharing"",""สบก!AP54"")"),0)</f>
        <v>0</v>
      </c>
      <c r="M102" s="536"/>
      <c r="N102" s="533">
        <f ca="1">IFERROR(__xludf.DUMMYFUNCTION("IMPORTRANGE(""https://docs.google.com/spreadsheets/d/1Yj_ptqi66GCucihVvJfMjLAmec39IyEx_6qawtMGysU/edit?usp=sharing"",""สบก!AT54"")"),0)</f>
        <v>0</v>
      </c>
      <c r="O102" s="536">
        <f ca="1">IF(L102&gt;0,N102*100/L102,0)</f>
        <v>0</v>
      </c>
      <c r="P102" s="536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IFERROR(__xludf.DUMMYFUNCTION("IMPORTRANGE(""https://docs.google.com/spreadsheets/d/1XL5vhW3sbDhbH9Cz0tuDiY8C3ctxq1tqvaCgkFb8cCA/edit?usp=sharing"",""หนองบัวลำภู!J39"")"),0)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IFERROR(__xludf.DUMMYFUNCTION("IMPORTRANGE(""https://docs.google.com/spreadsheets/d/1XL5vhW3sbDhbH9Cz0tuDiY8C3ctxq1tqvaCgkFb8cCA/edit?usp=sharing"",""หนองบัวลำภู!J40"")"),0)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IFERROR(__xludf.DUMMYFUNCTION("IMPORTRANGE(""https://docs.google.com/spreadsheets/d/1XL5vhW3sbDhbH9Cz0tuDiY8C3ctxq1tqvaCgkFb8cCA/edit?usp=sharing"",""หนองบัวลำภู!J41"")"),0)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IFERROR(__xludf.DUMMYFUNCTION("IMPORTRANGE(""https://docs.google.com/spreadsheets/d/1XL5vhW3sbDhbH9Cz0tuDiY8C3ctxq1tqvaCgkFb8cCA/edit?usp=sharing"",""หนองบัวลำภู!J42"")"),0)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IFERROR(__xludf.DUMMYFUNCTION("IMPORTRANGE(""https://docs.google.com/spreadsheets/d/1XL5vhW3sbDhbH9Cz0tuDiY8C3ctxq1tqvaCgkFb8cCA/edit?usp=sharing"",""หนองบัวลำภู!I43"")"),0)</f>
        <v>0</v>
      </c>
      <c r="J108" s="204">
        <f ca="1">IFERROR(__xludf.DUMMYFUNCTION("IMPORTRANGE(""https://docs.google.com/spreadsheets/d/1XL5vhW3sbDhbH9Cz0tuDiY8C3ctxq1tqvaCgkFb8cCA/edit?usp=sharing"",""หนองบัวลำภู!J43"")"),0)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IFERROR(__xludf.DUMMYFUNCTION("IMPORTRANGE(""https://docs.google.com/spreadsheets/d/1XL5vhW3sbDhbH9Cz0tuDiY8C3ctxq1tqvaCgkFb8cCA/edit?usp=sharing"",""หนองบัวลำภู!I44"")"),0)</f>
        <v>0</v>
      </c>
      <c r="J109" s="204">
        <f ca="1">IFERROR(__xludf.DUMMYFUNCTION("IMPORTRANGE(""https://docs.google.com/spreadsheets/d/1XL5vhW3sbDhbH9Cz0tuDiY8C3ctxq1tqvaCgkFb8cCA/edit?usp=sharing"",""หนองบัวลำภู!J44"")"),0)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IFERROR(__xludf.DUMMYFUNCTION("IMPORTRANGE(""https://docs.google.com/spreadsheets/d/1XL5vhW3sbDhbH9Cz0tuDiY8C3ctxq1tqvaCgkFb8cCA/edit?usp=sharing"",""หนองบัวลำภู!I45"")"),0)</f>
        <v>0</v>
      </c>
      <c r="J110" s="204">
        <f ca="1">IFERROR(__xludf.DUMMYFUNCTION("IMPORTRANGE(""https://docs.google.com/spreadsheets/d/1XL5vhW3sbDhbH9Cz0tuDiY8C3ctxq1tqvaCgkFb8cCA/edit?usp=sharing"",""หนองบัวลำภู!J45"")"),0)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IFERROR(__xludf.DUMMYFUNCTION("IMPORTRANGE(""https://docs.google.com/spreadsheets/d/1XL5vhW3sbDhbH9Cz0tuDiY8C3ctxq1tqvaCgkFb8cCA/edit?usp=sharing"",""หนองบัวลำภู!I46"")"),0)</f>
        <v>0</v>
      </c>
      <c r="J111" s="204">
        <f ca="1">IFERROR(__xludf.DUMMYFUNCTION("IMPORTRANGE(""https://docs.google.com/spreadsheets/d/1XL5vhW3sbDhbH9Cz0tuDiY8C3ctxq1tqvaCgkFb8cCA/edit?usp=sharing"",""หนองบัวลำภู!J46"")"),0)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IFERROR(__xludf.DUMMYFUNCTION("IMPORTRANGE(""https://docs.google.com/spreadsheets/d/1XL5vhW3sbDhbH9Cz0tuDiY8C3ctxq1tqvaCgkFb8cCA/edit?usp=sharing"",""หนองบัวลำภู!I47"")"),0)</f>
        <v>0</v>
      </c>
      <c r="J112" s="204">
        <f ca="1">IFERROR(__xludf.DUMMYFUNCTION("IMPORTRANGE(""https://docs.google.com/spreadsheets/d/1XL5vhW3sbDhbH9Cz0tuDiY8C3ctxq1tqvaCgkFb8cCA/edit?usp=sharing"",""หนองบัวลำภู!J47"")"),0)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IFERROR(__xludf.DUMMYFUNCTION("IMPORTRANGE(""https://docs.google.com/spreadsheets/d/1XL5vhW3sbDhbH9Cz0tuDiY8C3ctxq1tqvaCgkFb8cCA/edit?usp=sharing"",""หนองบัวลำภู!I48"")"),0)</f>
        <v>0</v>
      </c>
      <c r="J113" s="204">
        <f ca="1">IFERROR(__xludf.DUMMYFUNCTION("IMPORTRANGE(""https://docs.google.com/spreadsheets/d/1XL5vhW3sbDhbH9Cz0tuDiY8C3ctxq1tqvaCgkFb8cCA/edit?usp=sharing"",""หนองบัวลำภู!J48"")"),0)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IFERROR(__xludf.DUMMYFUNCTION("IMPORTRANGE(""https://docs.google.com/spreadsheets/d/1XL5vhW3sbDhbH9Cz0tuDiY8C3ctxq1tqvaCgkFb8cCA/edit?usp=sharing"",""หนองบัวลำภู!J49"")"),0)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IFERROR(__xludf.DUMMYFUNCTION("IMPORTRANGE(""https://docs.google.com/spreadsheets/d/1XL5vhW3sbDhbH9Cz0tuDiY8C3ctxq1tqvaCgkFb8cCA/edit?usp=sharing"",""หนองบัวลำภู!J50"")"),0)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IFERROR(__xludf.DUMMYFUNCTION("IMPORTRANGE(""https://docs.google.com/spreadsheets/d/1XL5vhW3sbDhbH9Cz0tuDiY8C3ctxq1tqvaCgkFb8cCA/edit?usp=sharing"",""หนองบัวลำภู!I52"")"),0)</f>
        <v>0</v>
      </c>
      <c r="J117" s="142">
        <f ca="1">IFERROR(__xludf.DUMMYFUNCTION("IMPORTRANGE(""https://docs.google.com/spreadsheets/d/1XL5vhW3sbDhbH9Cz0tuDiY8C3ctxq1tqvaCgkFb8cCA/edit?usp=sharing"",""หนองบัวลำภู!J52"")"),0)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54" t="s">
        <v>17</v>
      </c>
      <c r="E118" s="555"/>
      <c r="F118" s="555"/>
      <c r="G118" s="55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52" t="s">
        <v>20</v>
      </c>
      <c r="E121" s="553"/>
      <c r="F121" s="55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537">
        <f ca="1">IFERROR(__xludf.DUMMYFUNCTION("IMPORTRANGE(""https://docs.google.com/spreadsheets/d/1Yj_ptqi66GCucihVvJfMjLAmec39IyEx_6qawtMGysU/edit?usp=sharing"",""สบก!BA54"")"),0)</f>
        <v>0</v>
      </c>
      <c r="N122" s="538">
        <f ca="1">IFERROR(__xludf.DUMMYFUNCTION("IMPORTRANGE(""https://docs.google.com/spreadsheets/d/1Yj_ptqi66GCucihVvJfMjLAmec39IyEx_6qawtMGysU/edit?usp=sharing"",""สบก!BB54"")"),0)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537">
        <f ca="1">IFERROR(__xludf.DUMMYFUNCTION("IMPORTRANGE(""https://docs.google.com/spreadsheets/d/1Yj_ptqi66GCucihVvJfMjLAmec39IyEx_6qawtMGysU/edit?usp=sharing"",""สบก!AW54"")"),0)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537">
        <f ca="1">IFERROR(__xludf.DUMMYFUNCTION("IMPORTRANGE(""https://docs.google.com/spreadsheets/d/1Yj_ptqi66GCucihVvJfMjLAmec39IyEx_6qawtMGysU/edit?usp=sharing"",""สบก!AX54"")"),0)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52" t="s">
        <v>23</v>
      </c>
      <c r="E125" s="553"/>
      <c r="F125" s="89"/>
      <c r="G125" s="82" t="s">
        <v>18</v>
      </c>
      <c r="H125" s="172" t="s">
        <v>12</v>
      </c>
      <c r="I125" s="188"/>
      <c r="J125" s="188"/>
      <c r="K125" s="224"/>
      <c r="L125" s="535">
        <v>0</v>
      </c>
      <c r="M125" s="535"/>
      <c r="N125" s="41"/>
      <c r="O125" s="535"/>
      <c r="P125" s="535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533">
        <f ca="1">IFERROR(__xludf.DUMMYFUNCTION("IMPORTRANGE(""https://docs.google.com/spreadsheets/d/1Yj_ptqi66GCucihVvJfMjLAmec39IyEx_6qawtMGysU/edit?usp=sharing"",""สบก!AY54"")"),0)</f>
        <v>0</v>
      </c>
      <c r="M126" s="536"/>
      <c r="N126" s="533">
        <f ca="1">IFERROR(__xludf.DUMMYFUNCTION("IMPORTRANGE(""https://docs.google.com/spreadsheets/d/1Yj_ptqi66GCucihVvJfMjLAmec39IyEx_6qawtMGysU/edit?usp=sharing"",""สบก!BC54"")"),0)</f>
        <v>0</v>
      </c>
      <c r="O126" s="536">
        <f ca="1">IF(L126&gt;0,N126*100/L126,0)</f>
        <v>0</v>
      </c>
      <c r="P126" s="536"/>
    </row>
    <row r="127" spans="1:16" ht="21.75" customHeight="1" x14ac:dyDescent="0.35">
      <c r="A127" s="176"/>
      <c r="B127" s="177"/>
      <c r="C127" s="159" t="s">
        <v>16</v>
      </c>
      <c r="D127" s="233" t="s">
        <v>271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IFERROR(__xludf.DUMMYFUNCTION("IMPORTRANGE(""https://docs.google.com/spreadsheets/d/1XL5vhW3sbDhbH9Cz0tuDiY8C3ctxq1tqvaCgkFb8cCA/edit?usp=sharing"",""หนองบัวลำภู!J58"")"),0)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IFERROR(__xludf.DUMMYFUNCTION("IMPORTRANGE(""https://docs.google.com/spreadsheets/d/1XL5vhW3sbDhbH9Cz0tuDiY8C3ctxq1tqvaCgkFb8cCA/edit?usp=sharing"",""หนองบัวลำภู!J59"")"),0)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IFERROR(__xludf.DUMMYFUNCTION("IMPORTRANGE(""https://docs.google.com/spreadsheets/d/1XL5vhW3sbDhbH9Cz0tuDiY8C3ctxq1tqvaCgkFb8cCA/edit?usp=sharing"",""หนองบัวลำภู!J60"")"),0)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IFERROR(__xludf.DUMMYFUNCTION("IMPORTRANGE(""https://docs.google.com/spreadsheets/d/1XL5vhW3sbDhbH9Cz0tuDiY8C3ctxq1tqvaCgkFb8cCA/edit?usp=sharing"",""หนองบัวลำภู!J61"")"),0)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IFERROR(__xludf.DUMMYFUNCTION("IMPORTRANGE(""https://docs.google.com/spreadsheets/d/1XL5vhW3sbDhbH9Cz0tuDiY8C3ctxq1tqvaCgkFb8cCA/edit?usp=sharing"",""หนองบัวลำภู!I62"")"),0)</f>
        <v>0</v>
      </c>
      <c r="J132" s="204">
        <f ca="1">IFERROR(__xludf.DUMMYFUNCTION("IMPORTRANGE(""https://docs.google.com/spreadsheets/d/1XL5vhW3sbDhbH9Cz0tuDiY8C3ctxq1tqvaCgkFb8cCA/edit?usp=sharing"",""หนองบัวลำภู!J62"")"),0)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IFERROR(__xludf.DUMMYFUNCTION("IMPORTRANGE(""https://docs.google.com/spreadsheets/d/1XL5vhW3sbDhbH9Cz0tuDiY8C3ctxq1tqvaCgkFb8cCA/edit?usp=sharing"",""หนองบัวลำภู!I63"")"),0)</f>
        <v>0</v>
      </c>
      <c r="J133" s="204">
        <f ca="1">IFERROR(__xludf.DUMMYFUNCTION("IMPORTRANGE(""https://docs.google.com/spreadsheets/d/1XL5vhW3sbDhbH9Cz0tuDiY8C3ctxq1tqvaCgkFb8cCA/edit?usp=sharing"",""หนองบัวลำภู!J63"")"),0)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IFERROR(__xludf.DUMMYFUNCTION("IMPORTRANGE(""https://docs.google.com/spreadsheets/d/1XL5vhW3sbDhbH9Cz0tuDiY8C3ctxq1tqvaCgkFb8cCA/edit?usp=sharing"",""หนองบัวลำภู!J64"")"),0)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IFERROR(__xludf.DUMMYFUNCTION("IMPORTRANGE(""https://docs.google.com/spreadsheets/d/1XL5vhW3sbDhbH9Cz0tuDiY8C3ctxq1tqvaCgkFb8cCA/edit?usp=sharing"",""หนองบัวลำภู!J65"")"),0)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IFERROR(__xludf.DUMMYFUNCTION("IMPORTRANGE(""https://docs.google.com/spreadsheets/d/1XL5vhW3sbDhbH9Cz0tuDiY8C3ctxq1tqvaCgkFb8cCA/edit?usp=sharing"",""หนองบัวลำภู!I68"")"),15)</f>
        <v>15</v>
      </c>
      <c r="J138" s="267">
        <f ca="1">IFERROR(__xludf.DUMMYFUNCTION("IMPORTRANGE(""https://docs.google.com/spreadsheets/d/1XL5vhW3sbDhbH9Cz0tuDiY8C3ctxq1tqvaCgkFb8cCA/edit?usp=sharing"",""หนองบัวลำภู!J68"")"),15)</f>
        <v>15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54" t="s">
        <v>17</v>
      </c>
      <c r="E140" s="555"/>
      <c r="F140" s="555"/>
      <c r="G140" s="555"/>
      <c r="H140" s="149" t="s">
        <v>12</v>
      </c>
      <c r="I140" s="162"/>
      <c r="J140" s="162"/>
      <c r="K140" s="163"/>
      <c r="L140" s="152">
        <f t="shared" ref="L140:N140" ca="1" si="64">L141+L142</f>
        <v>212100</v>
      </c>
      <c r="M140" s="152">
        <f t="shared" ca="1" si="64"/>
        <v>281525</v>
      </c>
      <c r="N140" s="152">
        <f t="shared" ca="1" si="64"/>
        <v>226292.98</v>
      </c>
      <c r="O140" s="151">
        <f t="shared" ref="O140:O142" ca="1" si="65">IF(L140&gt;0,N140*100/L140,0)</f>
        <v>106.69164545025932</v>
      </c>
      <c r="P140" s="151">
        <f t="shared" ref="P140:P142" ca="1" si="66">IF(M140&gt;0,N140*100/M140,0)</f>
        <v>80.381131338247044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212100</v>
      </c>
      <c r="M142" s="157">
        <f t="shared" ca="1" si="68"/>
        <v>281525</v>
      </c>
      <c r="N142" s="157">
        <f t="shared" ca="1" si="68"/>
        <v>226292.98</v>
      </c>
      <c r="O142" s="156">
        <f t="shared" ca="1" si="65"/>
        <v>106.69164545025932</v>
      </c>
      <c r="P142" s="156">
        <f t="shared" ca="1" si="66"/>
        <v>80.381131338247044</v>
      </c>
    </row>
    <row r="143" spans="1:16" ht="21.75" customHeight="1" x14ac:dyDescent="0.45">
      <c r="A143" s="158"/>
      <c r="B143" s="159"/>
      <c r="C143" s="159" t="s">
        <v>16</v>
      </c>
      <c r="D143" s="552" t="s">
        <v>20</v>
      </c>
      <c r="E143" s="553"/>
      <c r="F143" s="55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212100</v>
      </c>
      <c r="M144" s="537">
        <f ca="1">IFERROR(__xludf.DUMMYFUNCTION("IMPORTRANGE(""https://docs.google.com/spreadsheets/d/1Yj_ptqi66GCucihVvJfMjLAmec39IyEx_6qawtMGysU/edit?usp=sharing"",""สบก!BJ54"")"),281525)</f>
        <v>281525</v>
      </c>
      <c r="N144" s="538">
        <f ca="1">IFERROR(__xludf.DUMMYFUNCTION("IMPORTRANGE(""https://docs.google.com/spreadsheets/d/1Yj_ptqi66GCucihVvJfMjLAmec39IyEx_6qawtMGysU/edit?usp=sharing"",""สบก!BK54"")"),226292.98)</f>
        <v>226292.98</v>
      </c>
      <c r="O144" s="169">
        <f ca="1">IF(L144&gt;0,N144*100/L144,0)</f>
        <v>106.69164545025932</v>
      </c>
      <c r="P144" s="169">
        <f ca="1">IF(M144&gt;0,N144*100/M144,0)</f>
        <v>80.381131338247044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537">
        <f ca="1">IFERROR(__xludf.DUMMYFUNCTION("IMPORTRANGE(""https://docs.google.com/spreadsheets/d/1Yj_ptqi66GCucihVvJfMjLAmec39IyEx_6qawtMGysU/edit?usp=sharing"",""สบก!BF54"")"),95100)</f>
        <v>95100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537">
        <f ca="1">IFERROR(__xludf.DUMMYFUNCTION("IMPORTRANGE(""https://docs.google.com/spreadsheets/d/1Yj_ptqi66GCucihVvJfMjLAmec39IyEx_6qawtMGysU/edit?usp=sharing"",""สบก!BG54"")"),117000)</f>
        <v>117000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52" t="s">
        <v>23</v>
      </c>
      <c r="E147" s="553"/>
      <c r="F147" s="89"/>
      <c r="G147" s="82" t="s">
        <v>18</v>
      </c>
      <c r="H147" s="172" t="s">
        <v>12</v>
      </c>
      <c r="I147" s="188"/>
      <c r="J147" s="188"/>
      <c r="K147" s="224"/>
      <c r="L147" s="535">
        <v>0</v>
      </c>
      <c r="M147" s="535"/>
      <c r="N147" s="41"/>
      <c r="O147" s="535"/>
      <c r="P147" s="535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533">
        <f ca="1">IFERROR(__xludf.DUMMYFUNCTION("IMPORTRANGE(""https://docs.google.com/spreadsheets/d/1Yj_ptqi66GCucihVvJfMjLAmec39IyEx_6qawtMGysU/edit?usp=sharing"",""สบก!BH54"")"),0)</f>
        <v>0</v>
      </c>
      <c r="M148" s="536"/>
      <c r="N148" s="533">
        <f ca="1">IFERROR(__xludf.DUMMYFUNCTION("IMPORTRANGE(""https://docs.google.com/spreadsheets/d/1Yj_ptqi66GCucihVvJfMjLAmec39IyEx_6qawtMGysU/edit?usp=sharing"",""สบก!BL54"")"),0)</f>
        <v>0</v>
      </c>
      <c r="O148" s="536">
        <f ca="1">IF(L148&gt;0,N148*100/L148,0)</f>
        <v>0</v>
      </c>
      <c r="P148" s="536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IFERROR(__xludf.DUMMYFUNCTION("IMPORTRANGE(""https://docs.google.com/spreadsheets/d/1XL5vhW3sbDhbH9Cz0tuDiY8C3ctxq1tqvaCgkFb8cCA/edit?usp=sharing"",""หนองบัวลำภู!I74"")"),4)</f>
        <v>4</v>
      </c>
      <c r="J149" s="275">
        <f ca="1">IFERROR(__xludf.DUMMYFUNCTION("IMPORTRANGE(""https://docs.google.com/spreadsheets/d/1XL5vhW3sbDhbH9Cz0tuDiY8C3ctxq1tqvaCgkFb8cCA/edit?usp=sharing"",""หนองบัวลำภู!J74"")"),2)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IFERROR(__xludf.DUMMYFUNCTION("IMPORTRANGE(""https://docs.google.com/spreadsheets/d/1XL5vhW3sbDhbH9Cz0tuDiY8C3ctxq1tqvaCgkFb8cCA/edit?usp=sharing"",""หนองบัวลำภู!J79"")"),0)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IFERROR(__xludf.DUMMYFUNCTION("IMPORTRANGE(""https://docs.google.com/spreadsheets/d/1XL5vhW3sbDhbH9Cz0tuDiY8C3ctxq1tqvaCgkFb8cCA/edit?usp=sharing"",""หนองบัวลำภู!J80"")"),1)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IFERROR(__xludf.DUMMYFUNCTION("IMPORTRANGE(""https://docs.google.com/spreadsheets/d/1XL5vhW3sbDhbH9Cz0tuDiY8C3ctxq1tqvaCgkFb8cCA/edit?usp=sharing"",""หนองบัวลำภู!J81"")"),0)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IFERROR(__xludf.DUMMYFUNCTION("IMPORTRANGE(""https://docs.google.com/spreadsheets/d/1XL5vhW3sbDhbH9Cz0tuDiY8C3ctxq1tqvaCgkFb8cCA/edit?usp=sharing"",""หนองบัวลำภู!J82"")"),1)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IFERROR(__xludf.DUMMYFUNCTION("IMPORTRANGE(""https://docs.google.com/spreadsheets/d/1XL5vhW3sbDhbH9Cz0tuDiY8C3ctxq1tqvaCgkFb8cCA/edit?usp=sharing"",""หนองบัวลำภู!I83"")"),4)</f>
        <v>4</v>
      </c>
      <c r="J158" s="189">
        <f ca="1">IFERROR(__xludf.DUMMYFUNCTION("IMPORTRANGE(""https://docs.google.com/spreadsheets/d/1XL5vhW3sbDhbH9Cz0tuDiY8C3ctxq1tqvaCgkFb8cCA/edit?usp=sharing"",""หนองบัวลำภู!J83"")"),2)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IFERROR(__xludf.DUMMYFUNCTION("IMPORTRANGE(""https://docs.google.com/spreadsheets/d/1XL5vhW3sbDhbH9Cz0tuDiY8C3ctxq1tqvaCgkFb8cCA/edit?usp=sharing"",""หนองบัวลำภู!J84"")"),40)</f>
        <v>40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IFERROR(__xludf.DUMMYFUNCTION("IMPORTRANGE(""https://docs.google.com/spreadsheets/d/1XL5vhW3sbDhbH9Cz0tuDiY8C3ctxq1tqvaCgkFb8cCA/edit?usp=sharing"",""หนองบัวลำภู!J85"")"),40)</f>
        <v>40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IFERROR(__xludf.DUMMYFUNCTION("IMPORTRANGE(""https://docs.google.com/spreadsheets/d/1XL5vhW3sbDhbH9Cz0tuDiY8C3ctxq1tqvaCgkFb8cCA/edit?usp=sharing"",""หนองบัวลำภู!J86"")"),0)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IFERROR(__xludf.DUMMYFUNCTION("IMPORTRANGE(""https://docs.google.com/spreadsheets/d/1XL5vhW3sbDhbH9Cz0tuDiY8C3ctxq1tqvaCgkFb8cCA/edit?usp=sharing"",""หนองบัวลำภู!J87"")"),0)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IFERROR(__xludf.DUMMYFUNCTION("IMPORTRANGE(""https://docs.google.com/spreadsheets/d/1XL5vhW3sbDhbH9Cz0tuDiY8C3ctxq1tqvaCgkFb8cCA/edit?usp=sharing"",""หนองบัวลำภู!J88"")"),0)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IFERROR(__xludf.DUMMYFUNCTION("IMPORTRANGE(""https://docs.google.com/spreadsheets/d/1XL5vhW3sbDhbH9Cz0tuDiY8C3ctxq1tqvaCgkFb8cCA/edit?usp=sharing"",""หนองบัวลำภู!I89"")"),3)</f>
        <v>3</v>
      </c>
      <c r="J164" s="284">
        <f ca="1">IFERROR(__xludf.DUMMYFUNCTION("IMPORTRANGE(""https://docs.google.com/spreadsheets/d/1XL5vhW3sbDhbH9Cz0tuDiY8C3ctxq1tqvaCgkFb8cCA/edit?usp=sharing"",""หนองบัวลำภู!J89"")"),2)</f>
        <v>2</v>
      </c>
      <c r="K164" s="285">
        <f ca="1">IF(I164&gt;0,J164*100/I164,0)</f>
        <v>66.666666666666671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IFERROR(__xludf.DUMMYFUNCTION("IMPORTRANGE(""https://docs.google.com/spreadsheets/d/1XL5vhW3sbDhbH9Cz0tuDiY8C3ctxq1tqvaCgkFb8cCA/edit?usp=sharing"",""หนองบัวลำภู!J94"")"),0)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IFERROR(__xludf.DUMMYFUNCTION("IMPORTRANGE(""https://docs.google.com/spreadsheets/d/1XL5vhW3sbDhbH9Cz0tuDiY8C3ctxq1tqvaCgkFb8cCA/edit?usp=sharing"",""หนองบัวลำภู!J95"")"),1)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IFERROR(__xludf.DUMMYFUNCTION("IMPORTRANGE(""https://docs.google.com/spreadsheets/d/1XL5vhW3sbDhbH9Cz0tuDiY8C3ctxq1tqvaCgkFb8cCA/edit?usp=sharing"",""หนองบัวลำภู!J96"")"),1)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IFERROR(__xludf.DUMMYFUNCTION("IMPORTRANGE(""https://docs.google.com/spreadsheets/d/1XL5vhW3sbDhbH9Cz0tuDiY8C3ctxq1tqvaCgkFb8cCA/edit?usp=sharing"",""หนองบัวลำภู!J97"")"),1)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IFERROR(__xludf.DUMMYFUNCTION("IMPORTRANGE(""https://docs.google.com/spreadsheets/d/1XL5vhW3sbDhbH9Cz0tuDiY8C3ctxq1tqvaCgkFb8cCA/edit?usp=sharing"",""หนองบัวลำภู!I98"")"),3)</f>
        <v>3</v>
      </c>
      <c r="J173" s="189">
        <f ca="1">IFERROR(__xludf.DUMMYFUNCTION("IMPORTRANGE(""https://docs.google.com/spreadsheets/d/1XL5vhW3sbDhbH9Cz0tuDiY8C3ctxq1tqvaCgkFb8cCA/edit?usp=sharing"",""หนองบัวลำภู!J98"")"),2)</f>
        <v>2</v>
      </c>
      <c r="K173" s="163">
        <f ca="1">IF(I173&gt;0,J173*100/I173,0)</f>
        <v>66.666666666666671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IFERROR(__xludf.DUMMYFUNCTION("IMPORTRANGE(""https://docs.google.com/spreadsheets/d/1XL5vhW3sbDhbH9Cz0tuDiY8C3ctxq1tqvaCgkFb8cCA/edit?usp=sharing"",""หนองบัวลำภู!J99"")"),0)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IFERROR(__xludf.DUMMYFUNCTION("IMPORTRANGE(""https://docs.google.com/spreadsheets/d/1XL5vhW3sbDhbH9Cz0tuDiY8C3ctxq1tqvaCgkFb8cCA/edit?usp=sharing"",""หนองบัวลำภู!J100"")"),0)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IFERROR(__xludf.DUMMYFUNCTION("IMPORTRANGE(""https://docs.google.com/spreadsheets/d/1XL5vhW3sbDhbH9Cz0tuDiY8C3ctxq1tqvaCgkFb8cCA/edit?usp=sharing"",""หนองบัวลำภู!I101"")"),3)</f>
        <v>3</v>
      </c>
      <c r="J176" s="284">
        <f ca="1">IFERROR(__xludf.DUMMYFUNCTION("IMPORTRANGE(""https://docs.google.com/spreadsheets/d/1XL5vhW3sbDhbH9Cz0tuDiY8C3ctxq1tqvaCgkFb8cCA/edit?usp=sharing"",""หนองบัวลำภู!J101"")"),2)</f>
        <v>2</v>
      </c>
      <c r="K176" s="285">
        <f ca="1">IF(I176&gt;0,J176*100/I176,0)</f>
        <v>66.666666666666671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IFERROR(__xludf.DUMMYFUNCTION("IMPORTRANGE(""https://docs.google.com/spreadsheets/d/1XL5vhW3sbDhbH9Cz0tuDiY8C3ctxq1tqvaCgkFb8cCA/edit?usp=sharing"",""หนองบัวลำภู!J106"")"),0)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IFERROR(__xludf.DUMMYFUNCTION("IMPORTRANGE(""https://docs.google.com/spreadsheets/d/1XL5vhW3sbDhbH9Cz0tuDiY8C3ctxq1tqvaCgkFb8cCA/edit?usp=sharing"",""หนองบัวลำภู!J107"")"),1)</f>
        <v>1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IFERROR(__xludf.DUMMYFUNCTION("IMPORTRANGE(""https://docs.google.com/spreadsheets/d/1XL5vhW3sbDhbH9Cz0tuDiY8C3ctxq1tqvaCgkFb8cCA/edit?usp=sharing"",""หนองบัวลำภู!J108"")"),1)</f>
        <v>1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IFERROR(__xludf.DUMMYFUNCTION("IMPORTRANGE(""https://docs.google.com/spreadsheets/d/1XL5vhW3sbDhbH9Cz0tuDiY8C3ctxq1tqvaCgkFb8cCA/edit?usp=sharing"",""หนองบัวลำภู!J109"")"),1)</f>
        <v>1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IFERROR(__xludf.DUMMYFUNCTION("IMPORTRANGE(""https://docs.google.com/spreadsheets/d/1XL5vhW3sbDhbH9Cz0tuDiY8C3ctxq1tqvaCgkFb8cCA/edit?usp=sharing"",""หนองบัวลำภู!I110"")"),3)</f>
        <v>3</v>
      </c>
      <c r="J185" s="204">
        <f ca="1">IFERROR(__xludf.DUMMYFUNCTION("IMPORTRANGE(""https://docs.google.com/spreadsheets/d/1XL5vhW3sbDhbH9Cz0tuDiY8C3ctxq1tqvaCgkFb8cCA/edit?usp=sharing"",""หนองบัวลำภู!J110"")"),0)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IFERROR(__xludf.DUMMYFUNCTION("IMPORTRANGE(""https://docs.google.com/spreadsheets/d/1XL5vhW3sbDhbH9Cz0tuDiY8C3ctxq1tqvaCgkFb8cCA/edit?usp=sharing"",""หนองบัวลำภู!I111"")"),3)</f>
        <v>3</v>
      </c>
      <c r="J186" s="204">
        <f ca="1">IFERROR(__xludf.DUMMYFUNCTION("IMPORTRANGE(""https://docs.google.com/spreadsheets/d/1XL5vhW3sbDhbH9Cz0tuDiY8C3ctxq1tqvaCgkFb8cCA/edit?usp=sharing"",""หนองบัวลำภู!J111"")"),2)</f>
        <v>2</v>
      </c>
      <c r="K186" s="224">
        <f t="shared" ca="1" si="69"/>
        <v>66.666666666666671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IFERROR(__xludf.DUMMYFUNCTION("IMPORTRANGE(""https://docs.google.com/spreadsheets/d/1XL5vhW3sbDhbH9Cz0tuDiY8C3ctxq1tqvaCgkFb8cCA/edit?usp=sharing"",""หนองบัวลำภู!J112"")"),0)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IFERROR(__xludf.DUMMYFUNCTION("IMPORTRANGE(""https://docs.google.com/spreadsheets/d/1XL5vhW3sbDhbH9Cz0tuDiY8C3ctxq1tqvaCgkFb8cCA/edit?usp=sharing"",""หนองบัวลำภู!J113"")"),0)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IFERROR(__xludf.DUMMYFUNCTION("IMPORTRANGE(""https://docs.google.com/spreadsheets/d/1XL5vhW3sbDhbH9Cz0tuDiY8C3ctxq1tqvaCgkFb8cCA/edit?usp=sharing"",""หนองบัวลำภู!I114"")"),10000)</f>
        <v>10000</v>
      </c>
      <c r="J189" s="284">
        <f ca="1">IFERROR(__xludf.DUMMYFUNCTION("IMPORTRANGE(""https://docs.google.com/spreadsheets/d/1XL5vhW3sbDhbH9Cz0tuDiY8C3ctxq1tqvaCgkFb8cCA/edit?usp=sharing"",""หนองบัวลำภู!J114"")"),0)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IFERROR(__xludf.DUMMYFUNCTION("IMPORTRANGE(""https://docs.google.com/spreadsheets/d/1XL5vhW3sbDhbH9Cz0tuDiY8C3ctxq1tqvaCgkFb8cCA/edit?usp=sharing"",""หนองบัวลำภู!J119"")"),0)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IFERROR(__xludf.DUMMYFUNCTION("IMPORTRANGE(""https://docs.google.com/spreadsheets/d/1XL5vhW3sbDhbH9Cz0tuDiY8C3ctxq1tqvaCgkFb8cCA/edit?usp=sharing"",""หนองบัวลำภู!J120"")"),1)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IFERROR(__xludf.DUMMYFUNCTION("IMPORTRANGE(""https://docs.google.com/spreadsheets/d/1XL5vhW3sbDhbH9Cz0tuDiY8C3ctxq1tqvaCgkFb8cCA/edit?usp=sharing"",""หนองบัวลำภู!J121"")"),1)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IFERROR(__xludf.DUMMYFUNCTION("IMPORTRANGE(""https://docs.google.com/spreadsheets/d/1XL5vhW3sbDhbH9Cz0tuDiY8C3ctxq1tqvaCgkFb8cCA/edit?usp=sharing"",""หนองบัวลำภู!J122"")"),1)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IFERROR(__xludf.DUMMYFUNCTION("IMPORTRANGE(""https://docs.google.com/spreadsheets/d/1XL5vhW3sbDhbH9Cz0tuDiY8C3ctxq1tqvaCgkFb8cCA/edit?usp=sharing"",""หนองบัวลำภู!I124"")"),10000)</f>
        <v>10000</v>
      </c>
      <c r="J199" s="189">
        <f ca="1">IFERROR(__xludf.DUMMYFUNCTION("IMPORTRANGE(""https://docs.google.com/spreadsheets/d/1XL5vhW3sbDhbH9Cz0tuDiY8C3ctxq1tqvaCgkFb8cCA/edit?usp=sharing"",""หนองบัวลำภู!J124"")"),10000)</f>
        <v>10000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IFERROR(__xludf.DUMMYFUNCTION("IMPORTRANGE(""https://docs.google.com/spreadsheets/d/1XL5vhW3sbDhbH9Cz0tuDiY8C3ctxq1tqvaCgkFb8cCA/edit?usp=sharing"",""หนองบัวลำภู!I125"")"),10000)</f>
        <v>10000</v>
      </c>
      <c r="J200" s="189">
        <f ca="1">IFERROR(__xludf.DUMMYFUNCTION("IMPORTRANGE(""https://docs.google.com/spreadsheets/d/1XL5vhW3sbDhbH9Cz0tuDiY8C3ctxq1tqvaCgkFb8cCA/edit?usp=sharing"",""หนองบัวลำภู!J125"")"),0)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IFERROR(__xludf.DUMMYFUNCTION("IMPORTRANGE(""https://docs.google.com/spreadsheets/d/1XL5vhW3sbDhbH9Cz0tuDiY8C3ctxq1tqvaCgkFb8cCA/edit?usp=sharing"",""หนองบัวลำภู!I126"")"),15)</f>
        <v>15</v>
      </c>
      <c r="J201" s="189">
        <f ca="1">IFERROR(__xludf.DUMMYFUNCTION("IMPORTRANGE(""https://docs.google.com/spreadsheets/d/1XL5vhW3sbDhbH9Cz0tuDiY8C3ctxq1tqvaCgkFb8cCA/edit?usp=sharing"",""หนองบัวลำภู!J126"")"),15)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IFERROR(__xludf.DUMMYFUNCTION("IMPORTRANGE(""https://docs.google.com/spreadsheets/d/1XL5vhW3sbDhbH9Cz0tuDiY8C3ctxq1tqvaCgkFb8cCA/edit?usp=sharing"",""หนองบัวลำภู!J127"")"),0)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IFERROR(__xludf.DUMMYFUNCTION("IMPORTRANGE(""https://docs.google.com/spreadsheets/d/1XL5vhW3sbDhbH9Cz0tuDiY8C3ctxq1tqvaCgkFb8cCA/edit?usp=sharing"",""หนองบัวลำภู!J128"")"),0)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IFERROR(__xludf.DUMMYFUNCTION("IMPORTRANGE(""https://docs.google.com/spreadsheets/d/1XL5vhW3sbDhbH9Cz0tuDiY8C3ctxq1tqvaCgkFb8cCA/edit?usp=sharing"",""หนองบัวลำภู!I129"")"),0)</f>
        <v>0</v>
      </c>
      <c r="J204" s="284">
        <f ca="1">IFERROR(__xludf.DUMMYFUNCTION("IMPORTRANGE(""https://docs.google.com/spreadsheets/d/1XL5vhW3sbDhbH9Cz0tuDiY8C3ctxq1tqvaCgkFb8cCA/edit?usp=sharing"",""หนองบัวลำภู!J129"")"),0)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IFERROR(__xludf.DUMMYFUNCTION("IMPORTRANGE(""https://docs.google.com/spreadsheets/d/1XL5vhW3sbDhbH9Cz0tuDiY8C3ctxq1tqvaCgkFb8cCA/edit?usp=sharing"",""หนองบัวลำภู!J134"")"),0)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IFERROR(__xludf.DUMMYFUNCTION("IMPORTRANGE(""https://docs.google.com/spreadsheets/d/1XL5vhW3sbDhbH9Cz0tuDiY8C3ctxq1tqvaCgkFb8cCA/edit?usp=sharing"",""หนองบัวลำภู!J135"")"),0)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IFERROR(__xludf.DUMMYFUNCTION("IMPORTRANGE(""https://docs.google.com/spreadsheets/d/1XL5vhW3sbDhbH9Cz0tuDiY8C3ctxq1tqvaCgkFb8cCA/edit?usp=sharing"",""หนองบัวลำภู!J136"")"),0)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IFERROR(__xludf.DUMMYFUNCTION("IMPORTRANGE(""https://docs.google.com/spreadsheets/d/1XL5vhW3sbDhbH9Cz0tuDiY8C3ctxq1tqvaCgkFb8cCA/edit?usp=sharing"",""หนองบัวลำภู!J137"")"),0)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IFERROR(__xludf.DUMMYFUNCTION("IMPORTRANGE(""https://docs.google.com/spreadsheets/d/1XL5vhW3sbDhbH9Cz0tuDiY8C3ctxq1tqvaCgkFb8cCA/edit?usp=sharing"",""หนองบัวลำภู!I138"")"),0)</f>
        <v>0</v>
      </c>
      <c r="J213" s="204">
        <f ca="1">IFERROR(__xludf.DUMMYFUNCTION("IMPORTRANGE(""https://docs.google.com/spreadsheets/d/1XL5vhW3sbDhbH9Cz0tuDiY8C3ctxq1tqvaCgkFb8cCA/edit?usp=sharing"",""หนองบัวลำภู!J138"")"),0)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IFERROR(__xludf.DUMMYFUNCTION("IMPORTRANGE(""https://docs.google.com/spreadsheets/d/1XL5vhW3sbDhbH9Cz0tuDiY8C3ctxq1tqvaCgkFb8cCA/edit?usp=sharing"",""หนองบัวลำภู!I140"")"),0)</f>
        <v>0</v>
      </c>
      <c r="J215" s="204">
        <f ca="1">IFERROR(__xludf.DUMMYFUNCTION("IMPORTRANGE(""https://docs.google.com/spreadsheets/d/1XL5vhW3sbDhbH9Cz0tuDiY8C3ctxq1tqvaCgkFb8cCA/edit?usp=sharing"",""หนองบัวลำภู!J140"")"),0)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IFERROR(__xludf.DUMMYFUNCTION("IMPORTRANGE(""https://docs.google.com/spreadsheets/d/1XL5vhW3sbDhbH9Cz0tuDiY8C3ctxq1tqvaCgkFb8cCA/edit?usp=sharing"",""หนองบัวลำภู!I141"")"),0)</f>
        <v>0</v>
      </c>
      <c r="J216" s="204">
        <f ca="1">IFERROR(__xludf.DUMMYFUNCTION("IMPORTRANGE(""https://docs.google.com/spreadsheets/d/1XL5vhW3sbDhbH9Cz0tuDiY8C3ctxq1tqvaCgkFb8cCA/edit?usp=sharing"",""หนองบัวลำภู!J141"")"),0)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IFERROR(__xludf.DUMMYFUNCTION("IMPORTRANGE(""https://docs.google.com/spreadsheets/d/1XL5vhW3sbDhbH9Cz0tuDiY8C3ctxq1tqvaCgkFb8cCA/edit?usp=sharing"",""หนองบัวลำภู!J142"")"),0)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IFERROR(__xludf.DUMMYFUNCTION("IMPORTRANGE(""https://docs.google.com/spreadsheets/d/1XL5vhW3sbDhbH9Cz0tuDiY8C3ctxq1tqvaCgkFb8cCA/edit?usp=sharing"",""หนองบัวลำภู!J143"")"),0)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IFERROR(__xludf.DUMMYFUNCTION("IMPORTRANGE(""https://docs.google.com/spreadsheets/d/1XL5vhW3sbDhbH9Cz0tuDiY8C3ctxq1tqvaCgkFb8cCA/edit?usp=sharing"",""หนองบัวลำภู!I144"")"),13)</f>
        <v>13</v>
      </c>
      <c r="J219" s="267">
        <f ca="1">IFERROR(__xludf.DUMMYFUNCTION("IMPORTRANGE(""https://docs.google.com/spreadsheets/d/1XL5vhW3sbDhbH9Cz0tuDiY8C3ctxq1tqvaCgkFb8cCA/edit?usp=sharing"",""หนองบัวลำภู!J144"")"),13)</f>
        <v>13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54" t="s">
        <v>17</v>
      </c>
      <c r="E220" s="555"/>
      <c r="F220" s="555"/>
      <c r="G220" s="555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52" t="s">
        <v>20</v>
      </c>
      <c r="E223" s="553"/>
      <c r="F223" s="55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537">
        <f ca="1">IFERROR(__xludf.DUMMYFUNCTION("IMPORTRANGE(""https://docs.google.com/spreadsheets/d/1Yj_ptqi66GCucihVvJfMjLAmec39IyEx_6qawtMGysU/edit?usp=sharing"",""สบก!BS54"")"),19295)</f>
        <v>19295</v>
      </c>
      <c r="N224" s="538">
        <f ca="1">IFERROR(__xludf.DUMMYFUNCTION("IMPORTRANGE(""https://docs.google.com/spreadsheets/d/1Yj_ptqi66GCucihVvJfMjLAmec39IyEx_6qawtMGysU/edit?usp=sharing"",""สบก!BT54"")"),19295)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537">
        <f ca="1">IFERROR(__xludf.DUMMYFUNCTION("IMPORTRANGE(""https://docs.google.com/spreadsheets/d/1Yj_ptqi66GCucihVvJfMjLAmec39IyEx_6qawtMGysU/edit?usp=sharing"",""สบก!BO54"")"),0)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537">
        <f ca="1">IFERROR(__xludf.DUMMYFUNCTION("IMPORTRANGE(""https://docs.google.com/spreadsheets/d/1Yj_ptqi66GCucihVvJfMjLAmec39IyEx_6qawtMGysU/edit?usp=sharing"",""สบก!BP54"")"),19295)</f>
        <v>19295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52" t="s">
        <v>23</v>
      </c>
      <c r="E227" s="553"/>
      <c r="F227" s="89"/>
      <c r="G227" s="82" t="s">
        <v>18</v>
      </c>
      <c r="H227" s="172" t="s">
        <v>12</v>
      </c>
      <c r="I227" s="201"/>
      <c r="J227" s="201"/>
      <c r="K227" s="290"/>
      <c r="L227" s="535">
        <v>0</v>
      </c>
      <c r="M227" s="535"/>
      <c r="N227" s="41"/>
      <c r="O227" s="535"/>
      <c r="P227" s="535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533">
        <f ca="1">IFERROR(__xludf.DUMMYFUNCTION("IMPORTRANGE(""https://docs.google.com/spreadsheets/d/1Yj_ptqi66GCucihVvJfMjLAmec39IyEx_6qawtMGysU/edit?usp=sharing"",""สบก!BQ54"")"),0)</f>
        <v>0</v>
      </c>
      <c r="M228" s="536"/>
      <c r="N228" s="533">
        <f ca="1">IFERROR(__xludf.DUMMYFUNCTION("IMPORTRANGE(""https://docs.google.com/spreadsheets/d/1Yj_ptqi66GCucihVvJfMjLAmec39IyEx_6qawtMGysU/edit?usp=sharing"",""สบก!BU54"")"),0)</f>
        <v>0</v>
      </c>
      <c r="O228" s="536">
        <f ca="1">IF(L228&gt;0,N228*100/L228,0)</f>
        <v>0</v>
      </c>
      <c r="P228" s="536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IFERROR(__xludf.DUMMYFUNCTION("IMPORTRANGE(""https://docs.google.com/spreadsheets/d/1XL5vhW3sbDhbH9Cz0tuDiY8C3ctxq1tqvaCgkFb8cCA/edit?usp=sharing"",""หนองบัวลำภู!I149"")"),13)</f>
        <v>13</v>
      </c>
      <c r="J229" s="267">
        <f ca="1">IFERROR(__xludf.DUMMYFUNCTION("IMPORTRANGE(""https://docs.google.com/spreadsheets/d/1XL5vhW3sbDhbH9Cz0tuDiY8C3ctxq1tqvaCgkFb8cCA/edit?usp=sharing"",""หนองบัวลำภู!J149"")"),13)</f>
        <v>13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IFERROR(__xludf.DUMMYFUNCTION("IMPORTRANGE(""https://docs.google.com/spreadsheets/d/1XL5vhW3sbDhbH9Cz0tuDiY8C3ctxq1tqvaCgkFb8cCA/edit?usp=sharing"",""หนองบัวลำภู!J151"")"),0)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IFERROR(__xludf.DUMMYFUNCTION("IMPORTRANGE(""https://docs.google.com/spreadsheets/d/1XL5vhW3sbDhbH9Cz0tuDiY8C3ctxq1tqvaCgkFb8cCA/edit?usp=sharing"",""หนองบัวลำภู!J152"")"),1)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IFERROR(__xludf.DUMMYFUNCTION("IMPORTRANGE(""https://docs.google.com/spreadsheets/d/1XL5vhW3sbDhbH9Cz0tuDiY8C3ctxq1tqvaCgkFb8cCA/edit?usp=sharing"",""หนองบัวลำภู!J153"")"),1)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IFERROR(__xludf.DUMMYFUNCTION("IMPORTRANGE(""https://docs.google.com/spreadsheets/d/1XL5vhW3sbDhbH9Cz0tuDiY8C3ctxq1tqvaCgkFb8cCA/edit?usp=sharing"",""หนองบัวลำภู!J154"")"),1)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IFERROR(__xludf.DUMMYFUNCTION("IMPORTRANGE(""https://docs.google.com/spreadsheets/d/1XL5vhW3sbDhbH9Cz0tuDiY8C3ctxq1tqvaCgkFb8cCA/edit?usp=sharing"",""หนองบัวลำภู!I155"")"),13)</f>
        <v>13</v>
      </c>
      <c r="J235" s="189">
        <f ca="1">IFERROR(__xludf.DUMMYFUNCTION("IMPORTRANGE(""https://docs.google.com/spreadsheets/d/1XL5vhW3sbDhbH9Cz0tuDiY8C3ctxq1tqvaCgkFb8cCA/edit?usp=sharing"",""หนองบัวลำภู!J155"")"),13)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IFERROR(__xludf.DUMMYFUNCTION("IMPORTRANGE(""https://docs.google.com/spreadsheets/d/1XL5vhW3sbDhbH9Cz0tuDiY8C3ctxq1tqvaCgkFb8cCA/edit?usp=sharing"",""หนองบัวลำภู!J156"")"),0)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IFERROR(__xludf.DUMMYFUNCTION("IMPORTRANGE(""https://docs.google.com/spreadsheets/d/1XL5vhW3sbDhbH9Cz0tuDiY8C3ctxq1tqvaCgkFb8cCA/edit?usp=sharing"",""หนองบัวลำภู!J157"")"),0)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IFERROR(__xludf.DUMMYFUNCTION("IMPORTRANGE(""https://docs.google.com/spreadsheets/d/1XL5vhW3sbDhbH9Cz0tuDiY8C3ctxq1tqvaCgkFb8cCA/edit?usp=sharing"",""หนองบัวลำภู!I158"")"),0)</f>
        <v>0</v>
      </c>
      <c r="J238" s="267">
        <f ca="1">IFERROR(__xludf.DUMMYFUNCTION("IMPORTRANGE(""https://docs.google.com/spreadsheets/d/1XL5vhW3sbDhbH9Cz0tuDiY8C3ctxq1tqvaCgkFb8cCA/edit?usp=sharing"",""หนองบัวลำภู!J158"")"),0)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IFERROR(__xludf.DUMMYFUNCTION("IMPORTRANGE(""https://docs.google.com/spreadsheets/d/1XL5vhW3sbDhbH9Cz0tuDiY8C3ctxq1tqvaCgkFb8cCA/edit?usp=sharing"",""หนองบัวลำภู!J159"")"),"")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IFERROR(__xludf.DUMMYFUNCTION("IMPORTRANGE(""https://docs.google.com/spreadsheets/d/1XL5vhW3sbDhbH9Cz0tuDiY8C3ctxq1tqvaCgkFb8cCA/edit?usp=sharing"",""หนองบัวลำภู!J161"")"),0)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IFERROR(__xludf.DUMMYFUNCTION("IMPORTRANGE(""https://docs.google.com/spreadsheets/d/1XL5vhW3sbDhbH9Cz0tuDiY8C3ctxq1tqvaCgkFb8cCA/edit?usp=sharing"",""หนองบัวลำภู!J162"")"),0)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IFERROR(__xludf.DUMMYFUNCTION("IMPORTRANGE(""https://docs.google.com/spreadsheets/d/1XL5vhW3sbDhbH9Cz0tuDiY8C3ctxq1tqvaCgkFb8cCA/edit?usp=sharing"",""หนองบัวลำภู!J163"")"),0)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IFERROR(__xludf.DUMMYFUNCTION("IMPORTRANGE(""https://docs.google.com/spreadsheets/d/1XL5vhW3sbDhbH9Cz0tuDiY8C3ctxq1tqvaCgkFb8cCA/edit?usp=sharing"",""หนองบัวลำภู!I164"")"),0)</f>
        <v>0</v>
      </c>
      <c r="J244" s="188">
        <f ca="1">IFERROR(__xludf.DUMMYFUNCTION("IMPORTRANGE(""https://docs.google.com/spreadsheets/d/1XL5vhW3sbDhbH9Cz0tuDiY8C3ctxq1tqvaCgkFb8cCA/edit?usp=sharing"",""หนองบัวลำภู!J164"")"),0)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IFERROR(__xludf.DUMMYFUNCTION("IMPORTRANGE(""https://docs.google.com/spreadsheets/d/1XL5vhW3sbDhbH9Cz0tuDiY8C3ctxq1tqvaCgkFb8cCA/edit?usp=sharing"",""หนองบัวลำภู!J165"")"),0)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IFERROR(__xludf.DUMMYFUNCTION("IMPORTRANGE(""https://docs.google.com/spreadsheets/d/1XL5vhW3sbDhbH9Cz0tuDiY8C3ctxq1tqvaCgkFb8cCA/edit?usp=sharing"",""หนองบัวลำภู!J166"")"),0)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IFERROR(__xludf.DUMMYFUNCTION("IMPORTRANGE(""https://docs.google.com/spreadsheets/d/1XL5vhW3sbDhbH9Cz0tuDiY8C3ctxq1tqvaCgkFb8cCA/edit?usp=sharing"",""หนองบัวลำภู!I169"")"),0)</f>
        <v>0</v>
      </c>
      <c r="J249" s="316">
        <f ca="1">IFERROR(__xludf.DUMMYFUNCTION("IMPORTRANGE(""https://docs.google.com/spreadsheets/d/1XL5vhW3sbDhbH9Cz0tuDiY8C3ctxq1tqvaCgkFb8cCA/edit?usp=sharing"",""หนองบัวลำภู!J169"")"),0)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54" t="s">
        <v>17</v>
      </c>
      <c r="E250" s="555"/>
      <c r="F250" s="555"/>
      <c r="G250" s="55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52" t="s">
        <v>20</v>
      </c>
      <c r="E253" s="553"/>
      <c r="F253" s="55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537">
        <f ca="1">IFERROR(__xludf.DUMMYFUNCTION("IMPORTRANGE(""https://docs.google.com/spreadsheets/d/1Yj_ptqi66GCucihVvJfMjLAmec39IyEx_6qawtMGysU/edit?usp=sharing"",""สบก!CB54"")"),0)</f>
        <v>0</v>
      </c>
      <c r="N254" s="538">
        <f ca="1">IFERROR(__xludf.DUMMYFUNCTION("IMPORTRANGE(""https://docs.google.com/spreadsheets/d/1Yj_ptqi66GCucihVvJfMjLAmec39IyEx_6qawtMGysU/edit?usp=sharing"",""สบก!CC54"")"),0)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537">
        <f ca="1">IFERROR(__xludf.DUMMYFUNCTION("IMPORTRANGE(""https://docs.google.com/spreadsheets/d/1Yj_ptqi66GCucihVvJfMjLAmec39IyEx_6qawtMGysU/edit?usp=sharing"",""สบก!BX54"")"),0)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537">
        <f ca="1">IFERROR(__xludf.DUMMYFUNCTION("IMPORTRANGE(""https://docs.google.com/spreadsheets/d/1Yj_ptqi66GCucihVvJfMjLAmec39IyEx_6qawtMGysU/edit?usp=sharing"",""สบก!BY54"")"),0)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52" t="s">
        <v>23</v>
      </c>
      <c r="E257" s="553"/>
      <c r="F257" s="89"/>
      <c r="G257" s="82" t="s">
        <v>18</v>
      </c>
      <c r="H257" s="172" t="s">
        <v>12</v>
      </c>
      <c r="I257" s="162"/>
      <c r="J257" s="162"/>
      <c r="K257" s="163"/>
      <c r="L257" s="535">
        <v>0</v>
      </c>
      <c r="M257" s="535"/>
      <c r="N257" s="41"/>
      <c r="O257" s="535"/>
      <c r="P257" s="535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533">
        <f ca="1">IFERROR(__xludf.DUMMYFUNCTION("IMPORTRANGE(""https://docs.google.com/spreadsheets/d/1Yj_ptqi66GCucihVvJfMjLAmec39IyEx_6qawtMGysU/edit?usp=sharing"",""สบก!BZ54"")"),0)</f>
        <v>0</v>
      </c>
      <c r="M258" s="536"/>
      <c r="N258" s="533">
        <f ca="1">IFERROR(__xludf.DUMMYFUNCTION("IMPORTRANGE(""https://docs.google.com/spreadsheets/d/1Yj_ptqi66GCucihVvJfMjLAmec39IyEx_6qawtMGysU/edit?usp=sharing"",""สบก!CD54"")"),0)</f>
        <v>0</v>
      </c>
      <c r="O258" s="536">
        <f ca="1">IF(L258&gt;0,N258*100/L258,0)</f>
        <v>0</v>
      </c>
      <c r="P258" s="536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IFERROR(__xludf.DUMMYFUNCTION("IMPORTRANGE(""https://docs.google.com/spreadsheets/d/1XL5vhW3sbDhbH9Cz0tuDiY8C3ctxq1tqvaCgkFb8cCA/edit?usp=sharing"",""หนองบัวลำภู!J175"")"),0)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IFERROR(__xludf.DUMMYFUNCTION("IMPORTRANGE(""https://docs.google.com/spreadsheets/d/1XL5vhW3sbDhbH9Cz0tuDiY8C3ctxq1tqvaCgkFb8cCA/edit?usp=sharing"",""หนองบัวลำภู!J176"")"),0)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IFERROR(__xludf.DUMMYFUNCTION("IMPORTRANGE(""https://docs.google.com/spreadsheets/d/1XL5vhW3sbDhbH9Cz0tuDiY8C3ctxq1tqvaCgkFb8cCA/edit?usp=sharing"",""หนองบัวลำภู!J177"")"),0)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IFERROR(__xludf.DUMMYFUNCTION("IMPORTRANGE(""https://docs.google.com/spreadsheets/d/1XL5vhW3sbDhbH9Cz0tuDiY8C3ctxq1tqvaCgkFb8cCA/edit?usp=sharing"",""หนองบัวลำภู!J178"")"),0)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IFERROR(__xludf.DUMMYFUNCTION("IMPORTRANGE(""https://docs.google.com/spreadsheets/d/1XL5vhW3sbDhbH9Cz0tuDiY8C3ctxq1tqvaCgkFb8cCA/edit?usp=sharing"",""หนองบัวลำภู!I179"")"),0)</f>
        <v>0</v>
      </c>
      <c r="J264" s="189">
        <f ca="1">IFERROR(__xludf.DUMMYFUNCTION("IMPORTRANGE(""https://docs.google.com/spreadsheets/d/1XL5vhW3sbDhbH9Cz0tuDiY8C3ctxq1tqvaCgkFb8cCA/edit?usp=sharing"",""หนองบัวลำภู!J179"")"),0)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IFERROR(__xludf.DUMMYFUNCTION("IMPORTRANGE(""https://docs.google.com/spreadsheets/d/1XL5vhW3sbDhbH9Cz0tuDiY8C3ctxq1tqvaCgkFb8cCA/edit?usp=sharing"",""หนองบัวลำภู!I180"")"),0)</f>
        <v>0</v>
      </c>
      <c r="J265" s="189">
        <f ca="1">IFERROR(__xludf.DUMMYFUNCTION("IMPORTRANGE(""https://docs.google.com/spreadsheets/d/1XL5vhW3sbDhbH9Cz0tuDiY8C3ctxq1tqvaCgkFb8cCA/edit?usp=sharing"",""หนองบัวลำภู!J180"")"),0)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IFERROR(__xludf.DUMMYFUNCTION("IMPORTRANGE(""https://docs.google.com/spreadsheets/d/1XL5vhW3sbDhbH9Cz0tuDiY8C3ctxq1tqvaCgkFb8cCA/edit?usp=sharing"",""หนองบัวลำภู!I181"")"),0)</f>
        <v>0</v>
      </c>
      <c r="J266" s="189">
        <f ca="1">IFERROR(__xludf.DUMMYFUNCTION("IMPORTRANGE(""https://docs.google.com/spreadsheets/d/1XL5vhW3sbDhbH9Cz0tuDiY8C3ctxq1tqvaCgkFb8cCA/edit?usp=sharing"",""หนองบัวลำภู!J181"")"),0)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IFERROR(__xludf.DUMMYFUNCTION("IMPORTRANGE(""https://docs.google.com/spreadsheets/d/1XL5vhW3sbDhbH9Cz0tuDiY8C3ctxq1tqvaCgkFb8cCA/edit?usp=sharing"",""หนองบัวลำภู!I182"")"),0)</f>
        <v>0</v>
      </c>
      <c r="J267" s="189">
        <f ca="1">IFERROR(__xludf.DUMMYFUNCTION("IMPORTRANGE(""https://docs.google.com/spreadsheets/d/1XL5vhW3sbDhbH9Cz0tuDiY8C3ctxq1tqvaCgkFb8cCA/edit?usp=sharing"",""หนองบัวลำภู!J182"")"),0)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IFERROR(__xludf.DUMMYFUNCTION("IMPORTRANGE(""https://docs.google.com/spreadsheets/d/1XL5vhW3sbDhbH9Cz0tuDiY8C3ctxq1tqvaCgkFb8cCA/edit?usp=sharing"",""หนองบัวลำภู!J183"")"),0)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IFERROR(__xludf.DUMMYFUNCTION("IMPORTRANGE(""https://docs.google.com/spreadsheets/d/1XL5vhW3sbDhbH9Cz0tuDiY8C3ctxq1tqvaCgkFb8cCA/edit?usp=sharing"",""หนองบัวลำภู!J184"")"),0)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IFERROR(__xludf.DUMMYFUNCTION("IMPORTRANGE(""https://docs.google.com/spreadsheets/d/1XL5vhW3sbDhbH9Cz0tuDiY8C3ctxq1tqvaCgkFb8cCA/edit?usp=sharing"",""หนองบัวลำภู!I185"")"),0)</f>
        <v>0</v>
      </c>
      <c r="J270" s="316">
        <f ca="1">IFERROR(__xludf.DUMMYFUNCTION("IMPORTRANGE(""https://docs.google.com/spreadsheets/d/1XL5vhW3sbDhbH9Cz0tuDiY8C3ctxq1tqvaCgkFb8cCA/edit?usp=sharing"",""หนองบัวลำภู!J185"")"),0)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54" t="s">
        <v>17</v>
      </c>
      <c r="E271" s="555"/>
      <c r="F271" s="555"/>
      <c r="G271" s="555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5">
      <c r="A274" s="158"/>
      <c r="B274" s="159"/>
      <c r="C274" s="159" t="s">
        <v>16</v>
      </c>
      <c r="D274" s="552" t="s">
        <v>20</v>
      </c>
      <c r="E274" s="553"/>
      <c r="F274" s="55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537">
        <f ca="1">IFERROR(__xludf.DUMMYFUNCTION("IMPORTRANGE(""https://docs.google.com/spreadsheets/d/1Yj_ptqi66GCucihVvJfMjLAmec39IyEx_6qawtMGysU/edit?usp=sharing"",""สบก!CK54"")"),0)</f>
        <v>0</v>
      </c>
      <c r="N275" s="538">
        <f ca="1">IFERROR(__xludf.DUMMYFUNCTION("IMPORTRANGE(""https://docs.google.com/spreadsheets/d/1Yj_ptqi66GCucihVvJfMjLAmec39IyEx_6qawtMGysU/edit?usp=sharing"",""สบก!CL54"")"),0)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537">
        <f ca="1">IFERROR(__xludf.DUMMYFUNCTION("IMPORTRANGE(""https://docs.google.com/spreadsheets/d/1Yj_ptqi66GCucihVvJfMjLAmec39IyEx_6qawtMGysU/edit?usp=sharing"",""สบก!CG54"")"),0)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537">
        <f ca="1">IFERROR(__xludf.DUMMYFUNCTION("IMPORTRANGE(""https://docs.google.com/spreadsheets/d/1Yj_ptqi66GCucihVvJfMjLAmec39IyEx_6qawtMGysU/edit?usp=sharing"",""สบก!CH54"")"),0)</f>
        <v>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52" t="s">
        <v>23</v>
      </c>
      <c r="E278" s="553"/>
      <c r="F278" s="89"/>
      <c r="G278" s="82" t="s">
        <v>18</v>
      </c>
      <c r="H278" s="172" t="s">
        <v>12</v>
      </c>
      <c r="I278" s="162"/>
      <c r="J278" s="162"/>
      <c r="K278" s="163"/>
      <c r="L278" s="535">
        <v>0</v>
      </c>
      <c r="M278" s="535"/>
      <c r="N278" s="41"/>
      <c r="O278" s="535"/>
      <c r="P278" s="535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533">
        <f ca="1">IFERROR(__xludf.DUMMYFUNCTION("IMPORTRANGE(""https://docs.google.com/spreadsheets/d/1Yj_ptqi66GCucihVvJfMjLAmec39IyEx_6qawtMGysU/edit?usp=sharing"",""สบก!CI54"")"),0)</f>
        <v>0</v>
      </c>
      <c r="M279" s="536"/>
      <c r="N279" s="533">
        <f ca="1">IFERROR(__xludf.DUMMYFUNCTION("IMPORTRANGE(""https://docs.google.com/spreadsheets/d/1Yj_ptqi66GCucihVvJfMjLAmec39IyEx_6qawtMGysU/edit?usp=sharing"",""สบก!CM54"")"),0)</f>
        <v>0</v>
      </c>
      <c r="O279" s="536">
        <f ca="1">IF(L279&gt;0,N279*100/L279,0)</f>
        <v>0</v>
      </c>
      <c r="P279" s="536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IFERROR(__xludf.DUMMYFUNCTION("IMPORTRANGE(""https://docs.google.com/spreadsheets/d/1XL5vhW3sbDhbH9Cz0tuDiY8C3ctxq1tqvaCgkFb8cCA/edit?usp=sharing"",""หนองบัวลำภู!J191"")"),0)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IFERROR(__xludf.DUMMYFUNCTION("IMPORTRANGE(""https://docs.google.com/spreadsheets/d/1XL5vhW3sbDhbH9Cz0tuDiY8C3ctxq1tqvaCgkFb8cCA/edit?usp=sharing"",""หนองบัวลำภู!J192"")"),0)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IFERROR(__xludf.DUMMYFUNCTION("IMPORTRANGE(""https://docs.google.com/spreadsheets/d/1XL5vhW3sbDhbH9Cz0tuDiY8C3ctxq1tqvaCgkFb8cCA/edit?usp=sharing"",""หนองบัวลำภู!J193"")"),0)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IFERROR(__xludf.DUMMYFUNCTION("IMPORTRANGE(""https://docs.google.com/spreadsheets/d/1XL5vhW3sbDhbH9Cz0tuDiY8C3ctxq1tqvaCgkFb8cCA/edit?usp=sharing"",""หนองบัวลำภู!J194"")"),0)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IFERROR(__xludf.DUMMYFUNCTION("IMPORTRANGE(""https://docs.google.com/spreadsheets/d/1XL5vhW3sbDhbH9Cz0tuDiY8C3ctxq1tqvaCgkFb8cCA/edit?usp=sharing"",""หนองบัวลำภู!I195"")"),0)</f>
        <v>0</v>
      </c>
      <c r="J285" s="189">
        <f ca="1">IFERROR(__xludf.DUMMYFUNCTION("IMPORTRANGE(""https://docs.google.com/spreadsheets/d/1XL5vhW3sbDhbH9Cz0tuDiY8C3ctxq1tqvaCgkFb8cCA/edit?usp=sharing"",""หนองบัวลำภู!J195"")"),0)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IFERROR(__xludf.DUMMYFUNCTION("IMPORTRANGE(""https://docs.google.com/spreadsheets/d/1XL5vhW3sbDhbH9Cz0tuDiY8C3ctxq1tqvaCgkFb8cCA/edit?usp=sharing"",""หนองบัวลำภู!J196"")"),0)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IFERROR(__xludf.DUMMYFUNCTION("IMPORTRANGE(""https://docs.google.com/spreadsheets/d/1XL5vhW3sbDhbH9Cz0tuDiY8C3ctxq1tqvaCgkFb8cCA/edit?usp=sharing"",""หนองบัวลำภู!J197"")"),0)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IFERROR(__xludf.DUMMYFUNCTION("IMPORTRANGE(""https://docs.google.com/spreadsheets/d/1XL5vhW3sbDhbH9Cz0tuDiY8C3ctxq1tqvaCgkFb8cCA/edit?usp=sharing"",""หนองบัวลำภู!I199"")"),0)</f>
        <v>0</v>
      </c>
      <c r="J289" s="316">
        <f ca="1">IFERROR(__xludf.DUMMYFUNCTION("IMPORTRANGE(""https://docs.google.com/spreadsheets/d/1XL5vhW3sbDhbH9Cz0tuDiY8C3ctxq1tqvaCgkFb8cCA/edit?usp=sharing"",""หนองบัวลำภู!J199"")"),0)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54" t="s">
        <v>17</v>
      </c>
      <c r="E290" s="555"/>
      <c r="F290" s="555"/>
      <c r="G290" s="55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52" t="s">
        <v>20</v>
      </c>
      <c r="E293" s="553"/>
      <c r="F293" s="55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537">
        <f ca="1">IFERROR(__xludf.DUMMYFUNCTION("IMPORTRANGE(""https://docs.google.com/spreadsheets/d/1Yj_ptqi66GCucihVvJfMjLAmec39IyEx_6qawtMGysU/edit?usp=sharing"",""สบก!CT54"")"),0)</f>
        <v>0</v>
      </c>
      <c r="N294" s="538">
        <f ca="1">IFERROR(__xludf.DUMMYFUNCTION("IMPORTRANGE(""https://docs.google.com/spreadsheets/d/1Yj_ptqi66GCucihVvJfMjLAmec39IyEx_6qawtMGysU/edit?usp=sharing"",""สบก!CU54"")"),0)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537">
        <f ca="1">IFERROR(__xludf.DUMMYFUNCTION("IMPORTRANGE(""https://docs.google.com/spreadsheets/d/1Yj_ptqi66GCucihVvJfMjLAmec39IyEx_6qawtMGysU/edit?usp=sharing"",""สบก!CP54"")"),0)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537">
        <f ca="1">IFERROR(__xludf.DUMMYFUNCTION("IMPORTRANGE(""https://docs.google.com/spreadsheets/d/1Yj_ptqi66GCucihVvJfMjLAmec39IyEx_6qawtMGysU/edit?usp=sharing"",""สบก!CQ54"")"),0)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52" t="s">
        <v>23</v>
      </c>
      <c r="E297" s="553"/>
      <c r="F297" s="89"/>
      <c r="G297" s="82" t="s">
        <v>18</v>
      </c>
      <c r="H297" s="172" t="s">
        <v>12</v>
      </c>
      <c r="I297" s="188"/>
      <c r="J297" s="188"/>
      <c r="K297" s="224"/>
      <c r="L297" s="535">
        <v>0</v>
      </c>
      <c r="M297" s="535"/>
      <c r="N297" s="41"/>
      <c r="O297" s="535"/>
      <c r="P297" s="535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533">
        <f ca="1">IFERROR(__xludf.DUMMYFUNCTION("IMPORTRANGE(""https://docs.google.com/spreadsheets/d/1Yj_ptqi66GCucihVvJfMjLAmec39IyEx_6qawtMGysU/edit?usp=sharing"",""สบก!CR54"")"),0)</f>
        <v>0</v>
      </c>
      <c r="M298" s="536"/>
      <c r="N298" s="533">
        <f ca="1">IFERROR(__xludf.DUMMYFUNCTION("IMPORTRANGE(""https://docs.google.com/spreadsheets/d/1Yj_ptqi66GCucihVvJfMjLAmec39IyEx_6qawtMGysU/edit?usp=sharing"",""สบก!CV54"")"),0)</f>
        <v>0</v>
      </c>
      <c r="O298" s="536">
        <f ca="1">IF(L298&gt;0,N298*100/L298,0)</f>
        <v>0</v>
      </c>
      <c r="P298" s="536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IFERROR(__xludf.DUMMYFUNCTION("IMPORTRANGE(""https://docs.google.com/spreadsheets/d/1XL5vhW3sbDhbH9Cz0tuDiY8C3ctxq1tqvaCgkFb8cCA/edit?usp=sharing"",""หนองบัวลำภู!J205"")"),0)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IFERROR(__xludf.DUMMYFUNCTION("IMPORTRANGE(""https://docs.google.com/spreadsheets/d/1XL5vhW3sbDhbH9Cz0tuDiY8C3ctxq1tqvaCgkFb8cCA/edit?usp=sharing"",""หนองบัวลำภู!J206"")"),0)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IFERROR(__xludf.DUMMYFUNCTION("IMPORTRANGE(""https://docs.google.com/spreadsheets/d/1XL5vhW3sbDhbH9Cz0tuDiY8C3ctxq1tqvaCgkFb8cCA/edit?usp=sharing"",""หนองบัวลำภู!J207"")"),0)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IFERROR(__xludf.DUMMYFUNCTION("IMPORTRANGE(""https://docs.google.com/spreadsheets/d/1XL5vhW3sbDhbH9Cz0tuDiY8C3ctxq1tqvaCgkFb8cCA/edit?usp=sharing"",""หนองบัวลำภู!J208"")"),0)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IFERROR(__xludf.DUMMYFUNCTION("IMPORTRANGE(""https://docs.google.com/spreadsheets/d/1XL5vhW3sbDhbH9Cz0tuDiY8C3ctxq1tqvaCgkFb8cCA/edit?usp=sharing"",""หนองบัวลำภู!I209"")"),0)</f>
        <v>0</v>
      </c>
      <c r="J304" s="204">
        <f ca="1">IFERROR(__xludf.DUMMYFUNCTION("IMPORTRANGE(""https://docs.google.com/spreadsheets/d/1XL5vhW3sbDhbH9Cz0tuDiY8C3ctxq1tqvaCgkFb8cCA/edit?usp=sharing"",""หนองบัวลำภู!J209"")"),0)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IFERROR(__xludf.DUMMYFUNCTION("IMPORTRANGE(""https://docs.google.com/spreadsheets/d/1XL5vhW3sbDhbH9Cz0tuDiY8C3ctxq1tqvaCgkFb8cCA/edit?usp=sharing"",""หนองบัวลำภู!I211"")"),0)</f>
        <v>0</v>
      </c>
      <c r="J306" s="204">
        <f ca="1">IFERROR(__xludf.DUMMYFUNCTION("IMPORTRANGE(""https://docs.google.com/spreadsheets/d/1XL5vhW3sbDhbH9Cz0tuDiY8C3ctxq1tqvaCgkFb8cCA/edit?usp=sharing"",""หนองบัวลำภู!J211"")"),0)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IFERROR(__xludf.DUMMYFUNCTION("IMPORTRANGE(""https://docs.google.com/spreadsheets/d/1XL5vhW3sbDhbH9Cz0tuDiY8C3ctxq1tqvaCgkFb8cCA/edit?usp=sharing"",""หนองบัวลำภู!J212"")"),0)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IFERROR(__xludf.DUMMYFUNCTION("IMPORTRANGE(""https://docs.google.com/spreadsheets/d/1XL5vhW3sbDhbH9Cz0tuDiY8C3ctxq1tqvaCgkFb8cCA/edit?usp=sharing"",""หนองบัวลำภู!J213"")"),0)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IFERROR(__xludf.DUMMYFUNCTION("IMPORTRANGE(""https://docs.google.com/spreadsheets/d/1XL5vhW3sbDhbH9Cz0tuDiY8C3ctxq1tqvaCgkFb8cCA/edit?usp=sharing"",""หนองบัวลำภู!I214"")"),0)</f>
        <v>0</v>
      </c>
      <c r="J309" s="333">
        <f ca="1">IFERROR(__xludf.DUMMYFUNCTION("IMPORTRANGE(""https://docs.google.com/spreadsheets/d/1XL5vhW3sbDhbH9Cz0tuDiY8C3ctxq1tqvaCgkFb8cCA/edit?usp=sharing"",""หนองบัวลำภู!J214"")"),0)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54" t="s">
        <v>17</v>
      </c>
      <c r="E310" s="555"/>
      <c r="F310" s="555"/>
      <c r="G310" s="55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52" t="s">
        <v>20</v>
      </c>
      <c r="E313" s="553"/>
      <c r="F313" s="55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537">
        <f ca="1">IFERROR(__xludf.DUMMYFUNCTION("IMPORTRANGE(""https://docs.google.com/spreadsheets/d/1Yj_ptqi66GCucihVvJfMjLAmec39IyEx_6qawtMGysU/edit?usp=sharing"",""สบก!DC54"")"),0)</f>
        <v>0</v>
      </c>
      <c r="N314" s="538">
        <f ca="1">IFERROR(__xludf.DUMMYFUNCTION("IMPORTRANGE(""https://docs.google.com/spreadsheets/d/1Yj_ptqi66GCucihVvJfMjLAmec39IyEx_6qawtMGysU/edit?usp=sharing"",""สบก!DD54"")"),0)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537">
        <f ca="1">IFERROR(__xludf.DUMMYFUNCTION("IMPORTRANGE(""https://docs.google.com/spreadsheets/d/1Yj_ptqi66GCucihVvJfMjLAmec39IyEx_6qawtMGysU/edit?usp=sharing"",""สบก!CY54"")"),0)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537">
        <f ca="1">IFERROR(__xludf.DUMMYFUNCTION("IMPORTRANGE(""https://docs.google.com/spreadsheets/d/1Yj_ptqi66GCucihVvJfMjLAmec39IyEx_6qawtMGysU/edit?usp=sharing"",""สบก!CZ54"")"),0)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52" t="s">
        <v>23</v>
      </c>
      <c r="E317" s="553"/>
      <c r="F317" s="89"/>
      <c r="G317" s="82" t="s">
        <v>18</v>
      </c>
      <c r="H317" s="172" t="s">
        <v>12</v>
      </c>
      <c r="I317" s="162"/>
      <c r="J317" s="188"/>
      <c r="K317" s="224"/>
      <c r="L317" s="535">
        <v>0</v>
      </c>
      <c r="M317" s="535"/>
      <c r="N317" s="41"/>
      <c r="O317" s="535"/>
      <c r="P317" s="535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533">
        <f ca="1">IFERROR(__xludf.DUMMYFUNCTION("IMPORTRANGE(""https://docs.google.com/spreadsheets/d/1Yj_ptqi66GCucihVvJfMjLAmec39IyEx_6qawtMGysU/edit?usp=sharing"",""สบก!DA54"")"),0)</f>
        <v>0</v>
      </c>
      <c r="M318" s="536"/>
      <c r="N318" s="533">
        <f ca="1">IFERROR(__xludf.DUMMYFUNCTION("IMPORTRANGE(""https://docs.google.com/spreadsheets/d/1Yj_ptqi66GCucihVvJfMjLAmec39IyEx_6qawtMGysU/edit?usp=sharing"",""สบก!DE54"")"),0)</f>
        <v>0</v>
      </c>
      <c r="O318" s="536">
        <f ca="1">IF(L318&gt;0,N318*100/L318,0)</f>
        <v>0</v>
      </c>
      <c r="P318" s="536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IFERROR(__xludf.DUMMYFUNCTION("IMPORTRANGE(""https://docs.google.com/spreadsheets/d/1XL5vhW3sbDhbH9Cz0tuDiY8C3ctxq1tqvaCgkFb8cCA/edit?usp=sharing"",""หนองบัวลำภู!J220"")"),0)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IFERROR(__xludf.DUMMYFUNCTION("IMPORTRANGE(""https://docs.google.com/spreadsheets/d/1XL5vhW3sbDhbH9Cz0tuDiY8C3ctxq1tqvaCgkFb8cCA/edit?usp=sharing"",""หนองบัวลำภู!J221"")"),0)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IFERROR(__xludf.DUMMYFUNCTION("IMPORTRANGE(""https://docs.google.com/spreadsheets/d/1XL5vhW3sbDhbH9Cz0tuDiY8C3ctxq1tqvaCgkFb8cCA/edit?usp=sharing"",""หนองบัวลำภู!J222"")"),0)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IFERROR(__xludf.DUMMYFUNCTION("IMPORTRANGE(""https://docs.google.com/spreadsheets/d/1XL5vhW3sbDhbH9Cz0tuDiY8C3ctxq1tqvaCgkFb8cCA/edit?usp=sharing"",""หนองบัวลำภู!J223"")"),0)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IFERROR(__xludf.DUMMYFUNCTION("IMPORTRANGE(""https://docs.google.com/spreadsheets/d/1XL5vhW3sbDhbH9Cz0tuDiY8C3ctxq1tqvaCgkFb8cCA/edit?usp=sharing"",""หนองบัวลำภู!I224"")"),0)</f>
        <v>0</v>
      </c>
      <c r="J324" s="204">
        <f ca="1">IFERROR(__xludf.DUMMYFUNCTION("IMPORTRANGE(""https://docs.google.com/spreadsheets/d/1XL5vhW3sbDhbH9Cz0tuDiY8C3ctxq1tqvaCgkFb8cCA/edit?usp=sharing"",""หนองบัวลำภู!J224"")"),0)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IFERROR(__xludf.DUMMYFUNCTION("IMPORTRANGE(""https://docs.google.com/spreadsheets/d/1XL5vhW3sbDhbH9Cz0tuDiY8C3ctxq1tqvaCgkFb8cCA/edit?usp=sharing"",""หนองบัวลำภู!J225"")"),0)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IFERROR(__xludf.DUMMYFUNCTION("IMPORTRANGE(""https://docs.google.com/spreadsheets/d/1XL5vhW3sbDhbH9Cz0tuDiY8C3ctxq1tqvaCgkFb8cCA/edit?usp=sharing"",""หนองบัวลำภู!J226"")"),0)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IFERROR(__xludf.DUMMYFUNCTION("IMPORTRANGE(""https://docs.google.com/spreadsheets/d/1XL5vhW3sbDhbH9Cz0tuDiY8C3ctxq1tqvaCgkFb8cCA/edit?usp=sharing"",""หนองบัวลำภู!I228"")"),440)</f>
        <v>440</v>
      </c>
      <c r="J328" s="339">
        <f ca="1">IFERROR(__xludf.DUMMYFUNCTION("IMPORTRANGE(""https://docs.google.com/spreadsheets/d/1XL5vhW3sbDhbH9Cz0tuDiY8C3ctxq1tqvaCgkFb8cCA/edit?usp=sharing"",""หนองบัวลำภู!J228"")"),298)</f>
        <v>298</v>
      </c>
      <c r="K328" s="317">
        <f ca="1">IF(I328&gt;0,J328*100/I328,0)</f>
        <v>67.727272727272734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54" t="s">
        <v>17</v>
      </c>
      <c r="E329" s="555"/>
      <c r="F329" s="555"/>
      <c r="G329" s="555"/>
      <c r="H329" s="149" t="s">
        <v>12</v>
      </c>
      <c r="I329" s="162"/>
      <c r="J329" s="162"/>
      <c r="K329" s="163"/>
      <c r="L329" s="152">
        <f t="shared" ref="L329:N329" ca="1" si="98">L330+L331</f>
        <v>1085310</v>
      </c>
      <c r="M329" s="152">
        <f t="shared" ca="1" si="98"/>
        <v>786010</v>
      </c>
      <c r="N329" s="152">
        <f t="shared" ca="1" si="98"/>
        <v>579488.12</v>
      </c>
      <c r="O329" s="151">
        <f t="shared" ref="O329:O331" ca="1" si="99">IF(L329&gt;0,N329*100/L329,0)</f>
        <v>53.393787949986638</v>
      </c>
      <c r="P329" s="151">
        <f t="shared" ref="P329:P331" ca="1" si="100">IF(M329&gt;0,N329*100/M329,0)</f>
        <v>73.725285937837938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1085310</v>
      </c>
      <c r="M331" s="157">
        <f t="shared" ca="1" si="102"/>
        <v>786010</v>
      </c>
      <c r="N331" s="157">
        <f t="shared" ca="1" si="102"/>
        <v>579488.12</v>
      </c>
      <c r="O331" s="156">
        <f t="shared" ca="1" si="99"/>
        <v>53.393787949986638</v>
      </c>
      <c r="P331" s="156">
        <f t="shared" ca="1" si="100"/>
        <v>73.725285937837938</v>
      </c>
    </row>
    <row r="332" spans="1:16" ht="21.75" customHeight="1" x14ac:dyDescent="0.45">
      <c r="A332" s="158"/>
      <c r="B332" s="159"/>
      <c r="C332" s="159" t="s">
        <v>16</v>
      </c>
      <c r="D332" s="552" t="s">
        <v>20</v>
      </c>
      <c r="E332" s="553"/>
      <c r="F332" s="55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1036410</v>
      </c>
      <c r="M333" s="537">
        <f ca="1">IFERROR(__xludf.DUMMYFUNCTION("IMPORTRANGE(""https://docs.google.com/spreadsheets/d/1Yj_ptqi66GCucihVvJfMjLAmec39IyEx_6qawtMGysU/edit?usp=sharing"",""สบก!DL54"")"),737110)</f>
        <v>737110</v>
      </c>
      <c r="N333" s="538">
        <f ca="1">IFERROR(__xludf.DUMMYFUNCTION("IMPORTRANGE(""https://docs.google.com/spreadsheets/d/1Yj_ptqi66GCucihVvJfMjLAmec39IyEx_6qawtMGysU/edit?usp=sharing"",""สบก!DM54"")"),530588.12)</f>
        <v>530588.12</v>
      </c>
      <c r="O333" s="169">
        <f ca="1">IF(L333&gt;0,N333*100/L333,0)</f>
        <v>51.194809004158586</v>
      </c>
      <c r="P333" s="169">
        <f ca="1">IF(M333&gt;0,N333*100/M333,0)</f>
        <v>71.982217036805906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537">
        <f ca="1">IFERROR(__xludf.DUMMYFUNCTION("IMPORTRANGE(""https://docs.google.com/spreadsheets/d/1Yj_ptqi66GCucihVvJfMjLAmec39IyEx_6qawtMGysU/edit?usp=sharing"",""สบก!DH54"")"),306000)</f>
        <v>306000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537">
        <f ca="1">IFERROR(__xludf.DUMMYFUNCTION("IMPORTRANGE(""https://docs.google.com/spreadsheets/d/1Yj_ptqi66GCucihVvJfMjLAmec39IyEx_6qawtMGysU/edit?usp=sharing"",""สบก!DI54"")"),730410)</f>
        <v>730410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52" t="s">
        <v>23</v>
      </c>
      <c r="E336" s="553"/>
      <c r="F336" s="89"/>
      <c r="G336" s="82" t="s">
        <v>18</v>
      </c>
      <c r="H336" s="172" t="s">
        <v>12</v>
      </c>
      <c r="I336" s="162"/>
      <c r="J336" s="162"/>
      <c r="K336" s="163"/>
      <c r="L336" s="535">
        <v>0</v>
      </c>
      <c r="M336" s="535"/>
      <c r="N336" s="41"/>
      <c r="O336" s="535"/>
      <c r="P336" s="535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533">
        <f ca="1">IFERROR(__xludf.DUMMYFUNCTION("IMPORTRANGE(""https://docs.google.com/spreadsheets/d/1Yj_ptqi66GCucihVvJfMjLAmec39IyEx_6qawtMGysU/edit?usp=sharing"",""สบก!DJ54"")"),48900)</f>
        <v>48900</v>
      </c>
      <c r="M337" s="536">
        <f ca="1">L337</f>
        <v>48900</v>
      </c>
      <c r="N337" s="533">
        <f ca="1">IFERROR(__xludf.DUMMYFUNCTION("IMPORTRANGE(""https://docs.google.com/spreadsheets/d/1Yj_ptqi66GCucihVvJfMjLAmec39IyEx_6qawtMGysU/edit?usp=sharing"",""สบก!DN54"")"),48900)</f>
        <v>48900</v>
      </c>
      <c r="O337" s="536">
        <f ca="1">IF(L337&gt;0,N337*100/L337,0)</f>
        <v>100</v>
      </c>
      <c r="P337" s="536">
        <f ca="1">IF(M337&gt;0,N337*100/M337,0)</f>
        <v>100</v>
      </c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IFERROR(__xludf.DUMMYFUNCTION("IMPORTRANGE(""https://docs.google.com/spreadsheets/d/1XL5vhW3sbDhbH9Cz0tuDiY8C3ctxq1tqvaCgkFb8cCA/edit?usp=sharing"",""หนองบัวลำภู!I234"")"),0)</f>
        <v>0</v>
      </c>
      <c r="J339" s="188">
        <f ca="1">IFERROR(__xludf.DUMMYFUNCTION("IMPORTRANGE(""https://docs.google.com/spreadsheets/d/1XL5vhW3sbDhbH9Cz0tuDiY8C3ctxq1tqvaCgkFb8cCA/edit?usp=sharing"",""หนองบัวลำภู!J234"")"),189)</f>
        <v>189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IFERROR(__xludf.DUMMYFUNCTION("IMPORTRANGE(""https://docs.google.com/spreadsheets/d/1XL5vhW3sbDhbH9Cz0tuDiY8C3ctxq1tqvaCgkFb8cCA/edit?usp=sharing"",""หนองบัวลำภู!I235"")"),4400)</f>
        <v>4400</v>
      </c>
      <c r="J340" s="188">
        <f ca="1">IFERROR(__xludf.DUMMYFUNCTION("IMPORTRANGE(""https://docs.google.com/spreadsheets/d/1XL5vhW3sbDhbH9Cz0tuDiY8C3ctxq1tqvaCgkFb8cCA/edit?usp=sharing"",""หนองบัวลำภู!J235"")"),1877.08)</f>
        <v>1877.08</v>
      </c>
      <c r="K340" s="342">
        <f t="shared" ca="1" si="103"/>
        <v>42.660909090909094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IFERROR(__xludf.DUMMYFUNCTION("IMPORTRANGE(""https://docs.google.com/spreadsheets/d/1XL5vhW3sbDhbH9Cz0tuDiY8C3ctxq1tqvaCgkFb8cCA/edit?usp=sharing"",""หนองบัวลำภู!I236"")"),440)</f>
        <v>440</v>
      </c>
      <c r="J341" s="188">
        <f ca="1">IFERROR(__xludf.DUMMYFUNCTION("IMPORTRANGE(""https://docs.google.com/spreadsheets/d/1XL5vhW3sbDhbH9Cz0tuDiY8C3ctxq1tqvaCgkFb8cCA/edit?usp=sharing"",""หนองบัวลำภู!J236"")"),299)</f>
        <v>299</v>
      </c>
      <c r="K341" s="342">
        <f t="shared" ca="1" si="103"/>
        <v>67.954545454545453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IFERROR(__xludf.DUMMYFUNCTION("IMPORTRANGE(""https://docs.google.com/spreadsheets/d/1XL5vhW3sbDhbH9Cz0tuDiY8C3ctxq1tqvaCgkFb8cCA/edit?usp=sharing"",""หนองบัวลำภู!I237"")"),0)</f>
        <v>0</v>
      </c>
      <c r="J342" s="188">
        <f ca="1">IFERROR(__xludf.DUMMYFUNCTION("IMPORTRANGE(""https://docs.google.com/spreadsheets/d/1XL5vhW3sbDhbH9Cz0tuDiY8C3ctxq1tqvaCgkFb8cCA/edit?usp=sharing"",""หนองบัวลำภู!J237"")"),3622.13)</f>
        <v>3622.13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IFERROR(__xludf.DUMMYFUNCTION("IMPORTRANGE(""https://docs.google.com/spreadsheets/d/1XL5vhW3sbDhbH9Cz0tuDiY8C3ctxq1tqvaCgkFb8cCA/edit?usp=sharing"",""หนองบัวลำภู!I238"")"),440)</f>
        <v>440</v>
      </c>
      <c r="J343" s="188">
        <f ca="1">IFERROR(__xludf.DUMMYFUNCTION("IMPORTRANGE(""https://docs.google.com/spreadsheets/d/1XL5vhW3sbDhbH9Cz0tuDiY8C3ctxq1tqvaCgkFb8cCA/edit?usp=sharing"",""หนองบัวลำภู!J238"")"),0)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IFERROR(__xludf.DUMMYFUNCTION("IMPORTRANGE(""https://docs.google.com/spreadsheets/d/1XL5vhW3sbDhbH9Cz0tuDiY8C3ctxq1tqvaCgkFb8cCA/edit?usp=sharing"",""หนองบัวลำภู!I239"")"),0)</f>
        <v>0</v>
      </c>
      <c r="J344" s="188">
        <f ca="1">IFERROR(__xludf.DUMMYFUNCTION("IMPORTRANGE(""https://docs.google.com/spreadsheets/d/1XL5vhW3sbDhbH9Cz0tuDiY8C3ctxq1tqvaCgkFb8cCA/edit?usp=sharing"",""หนองบัวลำภู!J239"")"),0)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IFERROR(__xludf.DUMMYFUNCTION("IMPORTRANGE(""https://docs.google.com/spreadsheets/d/1XL5vhW3sbDhbH9Cz0tuDiY8C3ctxq1tqvaCgkFb8cCA/edit?usp=sharing"",""หนองบัวลำภู!I240"")"),440)</f>
        <v>440</v>
      </c>
      <c r="J345" s="188">
        <f ca="1">IFERROR(__xludf.DUMMYFUNCTION("IMPORTRANGE(""https://docs.google.com/spreadsheets/d/1XL5vhW3sbDhbH9Cz0tuDiY8C3ctxq1tqvaCgkFb8cCA/edit?usp=sharing"",""หนองบัวลำภู!J240"")"),298)</f>
        <v>298</v>
      </c>
      <c r="K345" s="342">
        <f t="shared" ca="1" si="103"/>
        <v>67.727272727272734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IFERROR(__xludf.DUMMYFUNCTION("IMPORTRANGE(""https://docs.google.com/spreadsheets/d/1XL5vhW3sbDhbH9Cz0tuDiY8C3ctxq1tqvaCgkFb8cCA/edit?usp=sharing"",""หนองบัวลำภู!I241"")"),0)</f>
        <v>0</v>
      </c>
      <c r="J346" s="188">
        <f ca="1">IFERROR(__xludf.DUMMYFUNCTION("IMPORTRANGE(""https://docs.google.com/spreadsheets/d/1XL5vhW3sbDhbH9Cz0tuDiY8C3ctxq1tqvaCgkFb8cCA/edit?usp=sharing"",""หนองบัวลำภู!J241"")"),3619.67)</f>
        <v>3619.67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IFERROR(__xludf.DUMMYFUNCTION("IMPORTRANGE(""https://docs.google.com/spreadsheets/d/1XL5vhW3sbDhbH9Cz0tuDiY8C3ctxq1tqvaCgkFb8cCA/edit?usp=sharing"",""หนองบัวลำภู!L242"")"),3460636)</f>
        <v>3460636</v>
      </c>
      <c r="M347" s="358"/>
      <c r="N347" s="358">
        <f ca="1">IFERROR(__xludf.DUMMYFUNCTION("IMPORTRANGE(""https://docs.google.com/spreadsheets/d/1XL5vhW3sbDhbH9Cz0tuDiY8C3ctxq1tqvaCgkFb8cCA/edit?usp=sharing"",""หนองบัวลำภู!M242"")"),1247536.85)</f>
        <v>1247536.8500000001</v>
      </c>
      <c r="O347" s="358">
        <f ca="1">+IF(L347&gt;0,N347*100/L347,0)</f>
        <v>36.049351911036013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IFERROR(__xludf.DUMMYFUNCTION("IMPORTRANGE(""https://docs.google.com/spreadsheets/d/1XL5vhW3sbDhbH9Cz0tuDiY8C3ctxq1tqvaCgkFb8cCA/edit?usp=sharing"",""หนองบัวลำภู!I244"")"),392)</f>
        <v>392</v>
      </c>
      <c r="J349" s="371">
        <f ca="1">IFERROR(__xludf.DUMMYFUNCTION("IMPORTRANGE(""https://docs.google.com/spreadsheets/d/1XL5vhW3sbDhbH9Cz0tuDiY8C3ctxq1tqvaCgkFb8cCA/edit?usp=sharing"",""หนองบัวลำภู!J244"")"),21)</f>
        <v>21</v>
      </c>
      <c r="K349" s="372">
        <f t="shared" ref="K349:K350" ca="1" si="104">IF(I349&gt;0,J349*100/I349,0)</f>
        <v>5.3571428571428568</v>
      </c>
      <c r="L349" s="373">
        <f ca="1">IFERROR(__xludf.DUMMYFUNCTION("IMPORTRANGE(""https://docs.google.com/spreadsheets/d/1XL5vhW3sbDhbH9Cz0tuDiY8C3ctxq1tqvaCgkFb8cCA/edit?usp=sharing"",""หนองบัวลำภู!L244"")"),615580)</f>
        <v>615580</v>
      </c>
      <c r="M349" s="373"/>
      <c r="N349" s="373">
        <f ca="1">IFERROR(__xludf.DUMMYFUNCTION("IMPORTRANGE(""https://docs.google.com/spreadsheets/d/1XL5vhW3sbDhbH9Cz0tuDiY8C3ctxq1tqvaCgkFb8cCA/edit?usp=sharing"",""หนองบัวลำภู!M244"")"),232608.72)</f>
        <v>232608.72</v>
      </c>
      <c r="O349" s="373">
        <f ca="1">+IF(L349&gt;0,N349*100/L349,0)</f>
        <v>37.786919653010166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IFERROR(__xludf.DUMMYFUNCTION("IMPORTRANGE(""https://docs.google.com/spreadsheets/d/1XL5vhW3sbDhbH9Cz0tuDiY8C3ctxq1tqvaCgkFb8cCA/edit?usp=sharing"",""หนองบัวลำภู!I245"")"),90)</f>
        <v>90</v>
      </c>
      <c r="J350" s="371">
        <f ca="1">IFERROR(__xludf.DUMMYFUNCTION("IMPORTRANGE(""https://docs.google.com/spreadsheets/d/1XL5vhW3sbDhbH9Cz0tuDiY8C3ctxq1tqvaCgkFb8cCA/edit?usp=sharing"",""หนองบัวลำภู!J245"")"),90)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IFERROR(__xludf.DUMMYFUNCTION("IMPORTRANGE(""https://docs.google.com/spreadsheets/d/1XL5vhW3sbDhbH9Cz0tuDiY8C3ctxq1tqvaCgkFb8cCA/edit?usp=sharing"",""หนองบัวลำภู!L246"")"),0)</f>
        <v>0</v>
      </c>
      <c r="M351" s="164"/>
      <c r="N351" s="164">
        <f ca="1">IFERROR(__xludf.DUMMYFUNCTION("IMPORTRANGE(""https://docs.google.com/spreadsheets/d/1XL5vhW3sbDhbH9Cz0tuDiY8C3ctxq1tqvaCgkFb8cCA/edit?usp=sharing"",""หนองบัวลำภู!M246"")"),0)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IFERROR(__xludf.DUMMYFUNCTION("IMPORTRANGE(""https://docs.google.com/spreadsheets/d/1XL5vhW3sbDhbH9Cz0tuDiY8C3ctxq1tqvaCgkFb8cCA/edit?usp=sharing"",""หนองบัวลำภู!L247"")"),615580)</f>
        <v>615580</v>
      </c>
      <c r="M352" s="165"/>
      <c r="N352" s="164">
        <f ca="1">IFERROR(__xludf.DUMMYFUNCTION("IMPORTRANGE(""https://docs.google.com/spreadsheets/d/1XL5vhW3sbDhbH9Cz0tuDiY8C3ctxq1tqvaCgkFb8cCA/edit?usp=sharing"",""หนองบัวลำภู!M247"")"),232608.72)</f>
        <v>232608.72</v>
      </c>
      <c r="O352" s="165">
        <f t="shared" ca="1" si="105"/>
        <v>37.786919653010166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IFERROR(__xludf.DUMMYFUNCTION("IMPORTRANGE(""https://docs.google.com/spreadsheets/d/1XL5vhW3sbDhbH9Cz0tuDiY8C3ctxq1tqvaCgkFb8cCA/edit?usp=sharing"",""หนองบัวลำภู!L248"")"),0)</f>
        <v>0</v>
      </c>
      <c r="M353" s="169"/>
      <c r="N353" s="169">
        <f ca="1">IFERROR(__xludf.DUMMYFUNCTION("IMPORTRANGE(""https://docs.google.com/spreadsheets/d/1XL5vhW3sbDhbH9Cz0tuDiY8C3ctxq1tqvaCgkFb8cCA/edit?usp=sharing"",""หนองบัวลำภู!M248"")"),0)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IFERROR(__xludf.DUMMYFUNCTION("IMPORTRANGE(""https://docs.google.com/spreadsheets/d/1XL5vhW3sbDhbH9Cz0tuDiY8C3ctxq1tqvaCgkFb8cCA/edit?usp=sharing"",""หนองบัวลำภู!L249"")"),615580)</f>
        <v>615580</v>
      </c>
      <c r="M354" s="169"/>
      <c r="N354" s="168">
        <f ca="1">IFERROR(__xludf.DUMMYFUNCTION("IMPORTRANGE(""https://docs.google.com/spreadsheets/d/1XL5vhW3sbDhbH9Cz0tuDiY8C3ctxq1tqvaCgkFb8cCA/edit?usp=sharing"",""หนองบัวลำภู!M249"")"),232608.72)</f>
        <v>232608.72</v>
      </c>
      <c r="O354" s="169">
        <f t="shared" ca="1" si="105"/>
        <v>37.786919653010166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IFERROR(__xludf.DUMMYFUNCTION("IMPORTRANGE(""https://docs.google.com/spreadsheets/d/1XL5vhW3sbDhbH9Cz0tuDiY8C3ctxq1tqvaCgkFb8cCA/edit?usp=sharing"",""หนองบัวลำภู!M250"")"),91543)</f>
        <v>91543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IFERROR(__xludf.DUMMYFUNCTION("IMPORTRANGE(""https://docs.google.com/spreadsheets/d/1XL5vhW3sbDhbH9Cz0tuDiY8C3ctxq1tqvaCgkFb8cCA/edit?usp=sharing"",""หนองบัวลำภู!M251"")"),55179)</f>
        <v>55179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IFERROR(__xludf.DUMMYFUNCTION("IMPORTRANGE(""https://docs.google.com/spreadsheets/d/1XL5vhW3sbDhbH9Cz0tuDiY8C3ctxq1tqvaCgkFb8cCA/edit?usp=sharing"",""หนองบัวลำภู!M252"")"),60866.72)</f>
        <v>60866.720000000001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IFERROR(__xludf.DUMMYFUNCTION("IMPORTRANGE(""https://docs.google.com/spreadsheets/d/1XL5vhW3sbDhbH9Cz0tuDiY8C3ctxq1tqvaCgkFb8cCA/edit?usp=sharing"",""หนองบัวลำภู!M253"")"),25020)</f>
        <v>25020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IFERROR(__xludf.DUMMYFUNCTION("IMPORTRANGE(""https://docs.google.com/spreadsheets/d/1XL5vhW3sbDhbH9Cz0tuDiY8C3ctxq1tqvaCgkFb8cCA/edit?usp=sharing"",""หนองบัวลำภู!J255"")"),0)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IFERROR(__xludf.DUMMYFUNCTION("IMPORTRANGE(""https://docs.google.com/spreadsheets/d/1XL5vhW3sbDhbH9Cz0tuDiY8C3ctxq1tqvaCgkFb8cCA/edit?usp=sharing"",""หนองบัวลำภู!J256"")"),1)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IFERROR(__xludf.DUMMYFUNCTION("IMPORTRANGE(""https://docs.google.com/spreadsheets/d/1XL5vhW3sbDhbH9Cz0tuDiY8C3ctxq1tqvaCgkFb8cCA/edit?usp=sharing"",""หนองบัวลำภู!J257"")"),1)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IFERROR(__xludf.DUMMYFUNCTION("IMPORTRANGE(""https://docs.google.com/spreadsheets/d/1XL5vhW3sbDhbH9Cz0tuDiY8C3ctxq1tqvaCgkFb8cCA/edit?usp=sharing"",""หนองบัวลำภู!J258"")"),1)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IFERROR(__xludf.DUMMYFUNCTION("IMPORTRANGE(""https://docs.google.com/spreadsheets/d/1XL5vhW3sbDhbH9Cz0tuDiY8C3ctxq1tqvaCgkFb8cCA/edit?usp=sharing"",""หนองบัวลำภู!J166"")"),0)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IFERROR(__xludf.DUMMYFUNCTION("IMPORTRANGE(""https://docs.google.com/spreadsheets/d/1XL5vhW3sbDhbH9Cz0tuDiY8C3ctxq1tqvaCgkFb8cCA/edit?usp=sharing"",""หนองบัวลำภู!J166"")"),0)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IFERROR(__xludf.DUMMYFUNCTION("IMPORTRANGE(""https://docs.google.com/spreadsheets/d/1XL5vhW3sbDhbH9Cz0tuDiY8C3ctxq1tqvaCgkFb8cCA/edit?usp=sharing"",""หนองบัวลำภู!J166"")"),0)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IFERROR(__xludf.DUMMYFUNCTION("IMPORTRANGE(""https://docs.google.com/spreadsheets/d/1XL5vhW3sbDhbH9Cz0tuDiY8C3ctxq1tqvaCgkFb8cCA/edit?usp=sharing"",""หนองบัวลำภู!J166"")"),0)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IFERROR(__xludf.DUMMYFUNCTION("IMPORTRANGE(""https://docs.google.com/spreadsheets/d/1XL5vhW3sbDhbH9Cz0tuDiY8C3ctxq1tqvaCgkFb8cCA/edit?usp=sharing"",""หนองบัวลำภู!I263"")"),90)</f>
        <v>90</v>
      </c>
      <c r="J368" s="188">
        <f ca="1">IFERROR(__xludf.DUMMYFUNCTION("IMPORTRANGE(""https://docs.google.com/spreadsheets/d/1XL5vhW3sbDhbH9Cz0tuDiY8C3ctxq1tqvaCgkFb8cCA/edit?usp=sharing"",""หนองบัวลำภู!J263"")"),90)</f>
        <v>90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IFERROR(__xludf.DUMMYFUNCTION("IMPORTRANGE(""https://docs.google.com/spreadsheets/d/1XL5vhW3sbDhbH9Cz0tuDiY8C3ctxq1tqvaCgkFb8cCA/edit?usp=sharing"",""หนองบัวลำภู!I164"")"),0)</f>
        <v>0</v>
      </c>
      <c r="J369" s="204">
        <f ca="1">IFERROR(__xludf.DUMMYFUNCTION("IMPORTRANGE(""https://docs.google.com/spreadsheets/d/1XL5vhW3sbDhbH9Cz0tuDiY8C3ctxq1tqvaCgkFb8cCA/edit?usp=sharing"",""หนองบัวลำภู!J164"")"),0)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293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IFERROR(__xludf.DUMMYFUNCTION("IMPORTRANGE(""https://docs.google.com/spreadsheets/d/1XL5vhW3sbDhbH9Cz0tuDiY8C3ctxq1tqvaCgkFb8cCA/edit?usp=sharing"",""หนองบัวลำภู!I265"")"),90)</f>
        <v>90</v>
      </c>
      <c r="J370" s="204">
        <f ca="1">IFERROR(__xludf.DUMMYFUNCTION("IMPORTRANGE(""https://docs.google.com/spreadsheets/d/1XL5vhW3sbDhbH9Cz0tuDiY8C3ctxq1tqvaCgkFb8cCA/edit?usp=sharing"",""หนองบัวลำภู!J265"")"),70)</f>
        <v>70</v>
      </c>
      <c r="K370" s="163">
        <f t="shared" ca="1" si="106"/>
        <v>77.777777777777771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IFERROR(__xludf.DUMMYFUNCTION("IMPORTRANGE(""https://docs.google.com/spreadsheets/d/1XL5vhW3sbDhbH9Cz0tuDiY8C3ctxq1tqvaCgkFb8cCA/edit?usp=sharing"",""หนองบัวลำภู!I164"")"),0)</f>
        <v>0</v>
      </c>
      <c r="J371" s="189">
        <f ca="1">IFERROR(__xludf.DUMMYFUNCTION("IMPORTRANGE(""https://docs.google.com/spreadsheets/d/1XL5vhW3sbDhbH9Cz0tuDiY8C3ctxq1tqvaCgkFb8cCA/edit?usp=sharing"",""หนองบัวลำภู!J164"")"),0)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293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IFERROR(__xludf.DUMMYFUNCTION("IMPORTRANGE(""https://docs.google.com/spreadsheets/d/1XL5vhW3sbDhbH9Cz0tuDiY8C3ctxq1tqvaCgkFb8cCA/edit?usp=sharing"",""หนองบัวลำภู!I267"")"),90)</f>
        <v>90</v>
      </c>
      <c r="J372" s="189">
        <f ca="1">IFERROR(__xludf.DUMMYFUNCTION("IMPORTRANGE(""https://docs.google.com/spreadsheets/d/1XL5vhW3sbDhbH9Cz0tuDiY8C3ctxq1tqvaCgkFb8cCA/edit?usp=sharing"",""หนองบัวลำภู!J267"")"),20)</f>
        <v>20</v>
      </c>
      <c r="K372" s="163">
        <f t="shared" ca="1" si="106"/>
        <v>22.222222222222221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IFERROR(__xludf.DUMMYFUNCTION("IMPORTRANGE(""https://docs.google.com/spreadsheets/d/1XL5vhW3sbDhbH9Cz0tuDiY8C3ctxq1tqvaCgkFb8cCA/edit?usp=sharing"",""หนองบัวลำภู!I164"")"),0)</f>
        <v>0</v>
      </c>
      <c r="J373" s="204">
        <f ca="1">IFERROR(__xludf.DUMMYFUNCTION("IMPORTRANGE(""https://docs.google.com/spreadsheets/d/1XL5vhW3sbDhbH9Cz0tuDiY8C3ctxq1tqvaCgkFb8cCA/edit?usp=sharing"",""หนองบัวลำภู!J164"")"),0)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IFERROR(__xludf.DUMMYFUNCTION("IMPORTRANGE(""https://docs.google.com/spreadsheets/d/1XL5vhW3sbDhbH9Cz0tuDiY8C3ctxq1tqvaCgkFb8cCA/edit?usp=sharing"",""หนองบัวลำภู!I164"")"),0)</f>
        <v>0</v>
      </c>
      <c r="J374" s="188">
        <f ca="1">IFERROR(__xludf.DUMMYFUNCTION("IMPORTRANGE(""https://docs.google.com/spreadsheets/d/1XL5vhW3sbDhbH9Cz0tuDiY8C3ctxq1tqvaCgkFb8cCA/edit?usp=sharing"",""หนองบัวลำภู!J164"")"),0)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IFERROR(__xludf.DUMMYFUNCTION("IMPORTRANGE(""https://docs.google.com/spreadsheets/d/1XL5vhW3sbDhbH9Cz0tuDiY8C3ctxq1tqvaCgkFb8cCA/edit?usp=sharing"",""หนองบัวลำภู!I270"")"),392)</f>
        <v>392</v>
      </c>
      <c r="J375" s="188">
        <f ca="1">IFERROR(__xludf.DUMMYFUNCTION("IMPORTRANGE(""https://docs.google.com/spreadsheets/d/1XL5vhW3sbDhbH9Cz0tuDiY8C3ctxq1tqvaCgkFb8cCA/edit?usp=sharing"",""หนองบัวลำภู!J270"")"),21)</f>
        <v>21</v>
      </c>
      <c r="K375" s="163">
        <f t="shared" ref="K375:K377" ca="1" si="107">IF(I375&gt;0,J375*100/I375,0)</f>
        <v>5.3571428571428568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IFERROR(__xludf.DUMMYFUNCTION("IMPORTRANGE(""https://docs.google.com/spreadsheets/d/1XL5vhW3sbDhbH9Cz0tuDiY8C3ctxq1tqvaCgkFb8cCA/edit?usp=sharing"",""หนองบัวลำภู!I271"")"),20)</f>
        <v>20</v>
      </c>
      <c r="J376" s="189">
        <f ca="1">IFERROR(__xludf.DUMMYFUNCTION("IMPORTRANGE(""https://docs.google.com/spreadsheets/d/1XL5vhW3sbDhbH9Cz0tuDiY8C3ctxq1tqvaCgkFb8cCA/edit?usp=sharing"",""หนองบัวลำภู!J271"")"),21)</f>
        <v>21</v>
      </c>
      <c r="K376" s="163">
        <f t="shared" ca="1" si="107"/>
        <v>105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IFERROR(__xludf.DUMMYFUNCTION("IMPORTRANGE(""https://docs.google.com/spreadsheets/d/1XL5vhW3sbDhbH9Cz0tuDiY8C3ctxq1tqvaCgkFb8cCA/edit?usp=sharing"",""หนองบัวลำภู!I272"")"),372)</f>
        <v>372</v>
      </c>
      <c r="J377" s="204">
        <f ca="1">IFERROR(__xludf.DUMMYFUNCTION("IMPORTRANGE(""https://docs.google.com/spreadsheets/d/1XL5vhW3sbDhbH9Cz0tuDiY8C3ctxq1tqvaCgkFb8cCA/edit?usp=sharing"",""หนองบัวลำภู!J272"")"),0)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IFERROR(__xludf.DUMMYFUNCTION("IMPORTRANGE(""https://docs.google.com/spreadsheets/d/1XL5vhW3sbDhbH9Cz0tuDiY8C3ctxq1tqvaCgkFb8cCA/edit?usp=sharing"",""หนองบัวลำภู!J273"")"),0)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IFERROR(__xludf.DUMMYFUNCTION("IMPORTRANGE(""https://docs.google.com/spreadsheets/d/1XL5vhW3sbDhbH9Cz0tuDiY8C3ctxq1tqvaCgkFb8cCA/edit?usp=sharing"",""หนองบัวลำภู!J274"")"),0)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IFERROR(__xludf.DUMMYFUNCTION("IMPORTRANGE(""https://docs.google.com/spreadsheets/d/1XL5vhW3sbDhbH9Cz0tuDiY8C3ctxq1tqvaCgkFb8cCA/edit?usp=sharing"",""หนองบัวลำภู!I275"")"),1000)</f>
        <v>1000</v>
      </c>
      <c r="J380" s="371">
        <f ca="1">IFERROR(__xludf.DUMMYFUNCTION("IMPORTRANGE(""https://docs.google.com/spreadsheets/d/1XL5vhW3sbDhbH9Cz0tuDiY8C3ctxq1tqvaCgkFb8cCA/edit?usp=sharing"",""หนองบัวลำภู!J275"")"),0)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IFERROR(__xludf.DUMMYFUNCTION("IMPORTRANGE(""https://docs.google.com/spreadsheets/d/1XL5vhW3sbDhbH9Cz0tuDiY8C3ctxq1tqvaCgkFb8cCA/edit?usp=sharing"",""หนองบัวลำภู!L275"")"),1028520)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IFERROR(__xludf.DUMMYFUNCTION("IMPORTRANGE(""https://docs.google.com/spreadsheets/d/1XL5vhW3sbDhbH9Cz0tuDiY8C3ctxq1tqvaCgkFb8cCA/edit?usp=sharing"",""หนองบัวลำภู!M275"")"),273750.7)</f>
        <v>273750.7</v>
      </c>
      <c r="O380" s="373">
        <f ca="1">+IF(L380&gt;0,N380*100/L380,0)</f>
        <v>26.615982187998288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IFERROR(__xludf.DUMMYFUNCTION("IMPORTRANGE(""https://docs.google.com/spreadsheets/d/1XL5vhW3sbDhbH9Cz0tuDiY8C3ctxq1tqvaCgkFb8cCA/edit?usp=sharing"",""หนองบัวลำภู!I276"")"),100)</f>
        <v>100</v>
      </c>
      <c r="J381" s="371">
        <f ca="1">IFERROR(__xludf.DUMMYFUNCTION("IMPORTRANGE(""https://docs.google.com/spreadsheets/d/1XL5vhW3sbDhbH9Cz0tuDiY8C3ctxq1tqvaCgkFb8cCA/edit?usp=sharing"",""หนองบัวลำภู!J276"")"),100)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IFERROR(__xludf.DUMMYFUNCTION("IMPORTRANGE(""https://docs.google.com/spreadsheets/d/1XL5vhW3sbDhbH9Cz0tuDiY8C3ctxq1tqvaCgkFb8cCA/edit?usp=sharing"",""หนองบัวลำภู!L277"")"),0)</f>
        <v>0</v>
      </c>
      <c r="M382" s="164"/>
      <c r="N382" s="164">
        <f ca="1">IFERROR(__xludf.DUMMYFUNCTION("IMPORTRANGE(""https://docs.google.com/spreadsheets/d/1XL5vhW3sbDhbH9Cz0tuDiY8C3ctxq1tqvaCgkFb8cCA/edit?usp=sharing"",""หนองบัวลำภู!M277"")"),0)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IFERROR(__xludf.DUMMYFUNCTION("IMPORTRANGE(""https://docs.google.com/spreadsheets/d/1XL5vhW3sbDhbH9Cz0tuDiY8C3ctxq1tqvaCgkFb8cCA/edit?usp=sharing"",""หนองบัวลำภู!L278"")"),1028520)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IFERROR(__xludf.DUMMYFUNCTION("IMPORTRANGE(""https://docs.google.com/spreadsheets/d/1XL5vhW3sbDhbH9Cz0tuDiY8C3ctxq1tqvaCgkFb8cCA/edit?usp=sharing"",""หนองบัวลำภู!M278"")"),273750.7)</f>
        <v>273750.7</v>
      </c>
      <c r="O383" s="165">
        <f t="shared" ca="1" si="109"/>
        <v>26.615982187998288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IFERROR(__xludf.DUMMYFUNCTION("IMPORTRANGE(""https://docs.google.com/spreadsheets/d/1XL5vhW3sbDhbH9Cz0tuDiY8C3ctxq1tqvaCgkFb8cCA/edit?usp=sharing"",""หนองบัวลำภู!L279"")"),0)</f>
        <v>0</v>
      </c>
      <c r="M384" s="169"/>
      <c r="N384" s="169">
        <f ca="1">IFERROR(__xludf.DUMMYFUNCTION("IMPORTRANGE(""https://docs.google.com/spreadsheets/d/1XL5vhW3sbDhbH9Cz0tuDiY8C3ctxq1tqvaCgkFb8cCA/edit?usp=sharing"",""หนองบัวลำภู!M279"")"),0)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IFERROR(__xludf.DUMMYFUNCTION("IMPORTRANGE(""https://docs.google.com/spreadsheets/d/1XL5vhW3sbDhbH9Cz0tuDiY8C3ctxq1tqvaCgkFb8cCA/edit?usp=sharing"",""หนองบัวลำภู!L280"")"),1028520)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IFERROR(__xludf.DUMMYFUNCTION("IMPORTRANGE(""https://docs.google.com/spreadsheets/d/1XL5vhW3sbDhbH9Cz0tuDiY8C3ctxq1tqvaCgkFb8cCA/edit?usp=sharing"",""หนองบัวลำภู!M280"")"),273750.7)</f>
        <v>273750.7</v>
      </c>
      <c r="O385" s="169">
        <f t="shared" ca="1" si="109"/>
        <v>26.615982187998288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IFERROR(__xludf.DUMMYFUNCTION("IMPORTRANGE(""https://docs.google.com/spreadsheets/d/1XL5vhW3sbDhbH9Cz0tuDiY8C3ctxq1tqvaCgkFb8cCA/edit?usp=sharing"",""หนองบัวลำภู!M281"")"),206374)</f>
        <v>206374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IFERROR(__xludf.DUMMYFUNCTION("IMPORTRANGE(""https://docs.google.com/spreadsheets/d/1XL5vhW3sbDhbH9Cz0tuDiY8C3ctxq1tqvaCgkFb8cCA/edit?usp=sharing"",""หนองบัวลำภู!M282"")"),0)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IFERROR(__xludf.DUMMYFUNCTION("IMPORTRANGE(""https://docs.google.com/spreadsheets/d/1XL5vhW3sbDhbH9Cz0tuDiY8C3ctxq1tqvaCgkFb8cCA/edit?usp=sharing"",""หนองบัวลำภู!M283"")"),58666.7)</f>
        <v>58666.7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IFERROR(__xludf.DUMMYFUNCTION("IMPORTRANGE(""https://docs.google.com/spreadsheets/d/1XL5vhW3sbDhbH9Cz0tuDiY8C3ctxq1tqvaCgkFb8cCA/edit?usp=sharing"",""หนองบัวลำภู!M284"")"),8710)</f>
        <v>8710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IFERROR(__xludf.DUMMYFUNCTION("IMPORTRANGE(""https://docs.google.com/spreadsheets/d/1XL5vhW3sbDhbH9Cz0tuDiY8C3ctxq1tqvaCgkFb8cCA/edit?usp=sharing"",""หนองบัวลำภู!J286"")"),0)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IFERROR(__xludf.DUMMYFUNCTION("IMPORTRANGE(""https://docs.google.com/spreadsheets/d/1XL5vhW3sbDhbH9Cz0tuDiY8C3ctxq1tqvaCgkFb8cCA/edit?usp=sharing"",""หนองบัวลำภู!J287"")"),1)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IFERROR(__xludf.DUMMYFUNCTION("IMPORTRANGE(""https://docs.google.com/spreadsheets/d/1XL5vhW3sbDhbH9Cz0tuDiY8C3ctxq1tqvaCgkFb8cCA/edit?usp=sharing"",""หนองบัวลำภู!J288"")"),1)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IFERROR(__xludf.DUMMYFUNCTION("IMPORTRANGE(""https://docs.google.com/spreadsheets/d/1XL5vhW3sbDhbH9Cz0tuDiY8C3ctxq1tqvaCgkFb8cCA/edit?usp=sharing"",""หนองบัวลำภู!J289"")"),1)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IFERROR(__xludf.DUMMYFUNCTION("IMPORTRANGE(""https://docs.google.com/spreadsheets/d/1XL5vhW3sbDhbH9Cz0tuDiY8C3ctxq1tqvaCgkFb8cCA/edit?usp=sharing"",""หนองบัวลำภู!I291"")"),100)</f>
        <v>100</v>
      </c>
      <c r="J396" s="198">
        <f ca="1">IFERROR(__xludf.DUMMYFUNCTION("IMPORTRANGE(""https://docs.google.com/spreadsheets/d/1XL5vhW3sbDhbH9Cz0tuDiY8C3ctxq1tqvaCgkFb8cCA/edit?usp=sharing"",""หนองบัวลำภู!J291"")"),100)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IFERROR(__xludf.DUMMYFUNCTION("IMPORTRANGE(""https://docs.google.com/spreadsheets/d/1XL5vhW3sbDhbH9Cz0tuDiY8C3ctxq1tqvaCgkFb8cCA/edit?usp=sharing"",""หนองบัวลำภู!I292"")"),1000)</f>
        <v>1000</v>
      </c>
      <c r="J397" s="198">
        <f ca="1">IFERROR(__xludf.DUMMYFUNCTION("IMPORTRANGE(""https://docs.google.com/spreadsheets/d/1XL5vhW3sbDhbH9Cz0tuDiY8C3ctxq1tqvaCgkFb8cCA/edit?usp=sharing"",""หนองบัวลำภู!J292"")"),0)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IFERROR(__xludf.DUMMYFUNCTION("IMPORTRANGE(""https://docs.google.com/spreadsheets/d/1XL5vhW3sbDhbH9Cz0tuDiY8C3ctxq1tqvaCgkFb8cCA/edit?usp=sharing"",""หนองบัวลำภู!I293"")"),100)</f>
        <v>100</v>
      </c>
      <c r="J398" s="198">
        <f ca="1">IFERROR(__xludf.DUMMYFUNCTION("IMPORTRANGE(""https://docs.google.com/spreadsheets/d/1XL5vhW3sbDhbH9Cz0tuDiY8C3ctxq1tqvaCgkFb8cCA/edit?usp=sharing"",""หนองบัวลำภู!J293"")"),0)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IFERROR(__xludf.DUMMYFUNCTION("IMPORTRANGE(""https://docs.google.com/spreadsheets/d/1XL5vhW3sbDhbH9Cz0tuDiY8C3ctxq1tqvaCgkFb8cCA/edit?usp=sharing"",""หนองบัวลำภู!J294"")"),0)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IFERROR(__xludf.DUMMYFUNCTION("IMPORTRANGE(""https://docs.google.com/spreadsheets/d/1XL5vhW3sbDhbH9Cz0tuDiY8C3ctxq1tqvaCgkFb8cCA/edit?usp=sharing"",""หนองบัวลำภู!J295"")"),0)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IFERROR(__xludf.DUMMYFUNCTION("IMPORTRANGE(""https://docs.google.com/spreadsheets/d/1XL5vhW3sbDhbH9Cz0tuDiY8C3ctxq1tqvaCgkFb8cCA/edit?usp=sharing"",""หนองบัวลำภู!I296"")"),135)</f>
        <v>135</v>
      </c>
      <c r="J401" s="371">
        <f ca="1">IFERROR(__xludf.DUMMYFUNCTION("IMPORTRANGE(""https://docs.google.com/spreadsheets/d/1XL5vhW3sbDhbH9Cz0tuDiY8C3ctxq1tqvaCgkFb8cCA/edit?usp=sharing"",""หนองบัวลำภู!J296"")"),135)</f>
        <v>135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IFERROR(__xludf.DUMMYFUNCTION("IMPORTRANGE(""https://docs.google.com/spreadsheets/d/1XL5vhW3sbDhbH9Cz0tuDiY8C3ctxq1tqvaCgkFb8cCA/edit?usp=sharing"",""หนองบัวลำภู!L296"")"),159950)</f>
        <v>159950</v>
      </c>
      <c r="M401" s="373"/>
      <c r="N401" s="373">
        <f ca="1">IFERROR(__xludf.DUMMYFUNCTION("IMPORTRANGE(""https://docs.google.com/spreadsheets/d/1XL5vhW3sbDhbH9Cz0tuDiY8C3ctxq1tqvaCgkFb8cCA/edit?usp=sharing"",""หนองบัวลำภู!M296"")"),137098)</f>
        <v>137098</v>
      </c>
      <c r="O401" s="373">
        <f ca="1">+IF(L401&gt;0,N401*100/L401,0)</f>
        <v>85.713035323538605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IFERROR(__xludf.DUMMYFUNCTION("IMPORTRANGE(""https://docs.google.com/spreadsheets/d/1XL5vhW3sbDhbH9Cz0tuDiY8C3ctxq1tqvaCgkFb8cCA/edit?usp=sharing"",""หนองบัวลำภู!I297"")"),45)</f>
        <v>45</v>
      </c>
      <c r="J402" s="371">
        <f ca="1">IFERROR(__xludf.DUMMYFUNCTION("IMPORTRANGE(""https://docs.google.com/spreadsheets/d/1XL5vhW3sbDhbH9Cz0tuDiY8C3ctxq1tqvaCgkFb8cCA/edit?usp=sharing"",""หนองบัวลำภู!J297"")"),45)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IFERROR(__xludf.DUMMYFUNCTION("IMPORTRANGE(""https://docs.google.com/spreadsheets/d/1XL5vhW3sbDhbH9Cz0tuDiY8C3ctxq1tqvaCgkFb8cCA/edit?usp=sharing"",""หนองบัวลำภู!L298"")"),0)</f>
        <v>0</v>
      </c>
      <c r="M403" s="164"/>
      <c r="N403" s="169">
        <f ca="1">IFERROR(__xludf.DUMMYFUNCTION("IMPORTRANGE(""https://docs.google.com/spreadsheets/d/1XL5vhW3sbDhbH9Cz0tuDiY8C3ctxq1tqvaCgkFb8cCA/edit?usp=sharing"",""หนองบัวลำภู!M298"")"),0)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IFERROR(__xludf.DUMMYFUNCTION("IMPORTRANGE(""https://docs.google.com/spreadsheets/d/1XL5vhW3sbDhbH9Cz0tuDiY8C3ctxq1tqvaCgkFb8cCA/edit?usp=sharing"",""หนองบัวลำภู!L299"")"),159950)</f>
        <v>159950</v>
      </c>
      <c r="M404" s="165"/>
      <c r="N404" s="169">
        <f ca="1">IFERROR(__xludf.DUMMYFUNCTION("IMPORTRANGE(""https://docs.google.com/spreadsheets/d/1XL5vhW3sbDhbH9Cz0tuDiY8C3ctxq1tqvaCgkFb8cCA/edit?usp=sharing"",""หนองบัวลำภู!M299"")"),137098)</f>
        <v>137098</v>
      </c>
      <c r="O404" s="169">
        <f t="shared" ca="1" si="112"/>
        <v>85.713035323538605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IFERROR(__xludf.DUMMYFUNCTION("IMPORTRANGE(""https://docs.google.com/spreadsheets/d/1XL5vhW3sbDhbH9Cz0tuDiY8C3ctxq1tqvaCgkFb8cCA/edit?usp=sharing"",""หนองบัวลำภู!L300"")"),0)</f>
        <v>0</v>
      </c>
      <c r="M405" s="169"/>
      <c r="N405" s="169">
        <f ca="1">IFERROR(__xludf.DUMMYFUNCTION("IMPORTRANGE(""https://docs.google.com/spreadsheets/d/1XL5vhW3sbDhbH9Cz0tuDiY8C3ctxq1tqvaCgkFb8cCA/edit?usp=sharing"",""หนองบัวลำภู!M300"")"),0)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IFERROR(__xludf.DUMMYFUNCTION("IMPORTRANGE(""https://docs.google.com/spreadsheets/d/1XL5vhW3sbDhbH9Cz0tuDiY8C3ctxq1tqvaCgkFb8cCA/edit?usp=sharing"",""หนองบัวลำภู!L301"")"),159950)</f>
        <v>159950</v>
      </c>
      <c r="M406" s="169"/>
      <c r="N406" s="169">
        <f ca="1">IFERROR(__xludf.DUMMYFUNCTION("IMPORTRANGE(""https://docs.google.com/spreadsheets/d/1XL5vhW3sbDhbH9Cz0tuDiY8C3ctxq1tqvaCgkFb8cCA/edit?usp=sharing"",""หนองบัวลำภู!M301"")"),137098)</f>
        <v>137098</v>
      </c>
      <c r="O406" s="169">
        <f t="shared" ca="1" si="112"/>
        <v>85.713035323538605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IFERROR(__xludf.DUMMYFUNCTION("IMPORTRANGE(""https://docs.google.com/spreadsheets/d/1XL5vhW3sbDhbH9Cz0tuDiY8C3ctxq1tqvaCgkFb8cCA/edit?usp=sharing"",""หนองบัวลำภู!M302"")"),97550)</f>
        <v>97550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IFERROR(__xludf.DUMMYFUNCTION("IMPORTRANGE(""https://docs.google.com/spreadsheets/d/1XL5vhW3sbDhbH9Cz0tuDiY8C3ctxq1tqvaCgkFb8cCA/edit?usp=sharing"",""หนองบัวลำภู!M303"")"),32500)</f>
        <v>32500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IFERROR(__xludf.DUMMYFUNCTION("IMPORTRANGE(""https://docs.google.com/spreadsheets/d/1XL5vhW3sbDhbH9Cz0tuDiY8C3ctxq1tqvaCgkFb8cCA/edit?usp=sharing"",""หนองบัวลำภู!M304"")"),0)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IFERROR(__xludf.DUMMYFUNCTION("IMPORTRANGE(""https://docs.google.com/spreadsheets/d/1XL5vhW3sbDhbH9Cz0tuDiY8C3ctxq1tqvaCgkFb8cCA/edit?usp=sharing"",""หนองบัวลำภู!M305"")"),7048)</f>
        <v>7048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IFERROR(__xludf.DUMMYFUNCTION("IMPORTRANGE(""https://docs.google.com/spreadsheets/d/1XL5vhW3sbDhbH9Cz0tuDiY8C3ctxq1tqvaCgkFb8cCA/edit?usp=sharing"",""หนองบัวลำภู!J307"")"),0)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IFERROR(__xludf.DUMMYFUNCTION("IMPORTRANGE(""https://docs.google.com/spreadsheets/d/1XL5vhW3sbDhbH9Cz0tuDiY8C3ctxq1tqvaCgkFb8cCA/edit?usp=sharing"",""หนองบัวลำภู!J308"")"),1)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IFERROR(__xludf.DUMMYFUNCTION("IMPORTRANGE(""https://docs.google.com/spreadsheets/d/1XL5vhW3sbDhbH9Cz0tuDiY8C3ctxq1tqvaCgkFb8cCA/edit?usp=sharing"",""หนองบัวลำภู!J309"")"),1)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IFERROR(__xludf.DUMMYFUNCTION("IMPORTRANGE(""https://docs.google.com/spreadsheets/d/1XL5vhW3sbDhbH9Cz0tuDiY8C3ctxq1tqvaCgkFb8cCA/edit?usp=sharing"",""หนองบัวลำภู!J310"")"),1)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IFERROR(__xludf.DUMMYFUNCTION("IMPORTRANGE(""https://docs.google.com/spreadsheets/d/1XL5vhW3sbDhbH9Cz0tuDiY8C3ctxq1tqvaCgkFb8cCA/edit?usp=sharing"",""หนองบัวลำภู!I311"")"),45)</f>
        <v>45</v>
      </c>
      <c r="J416" s="201">
        <f ca="1">IFERROR(__xludf.DUMMYFUNCTION("IMPORTRANGE(""https://docs.google.com/spreadsheets/d/1XL5vhW3sbDhbH9Cz0tuDiY8C3ctxq1tqvaCgkFb8cCA/edit?usp=sharing"",""หนองบัวลำภู!J311"")"),45)</f>
        <v>45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IFERROR(__xludf.DUMMYFUNCTION("IMPORTRANGE(""https://docs.google.com/spreadsheets/d/1XL5vhW3sbDhbH9Cz0tuDiY8C3ctxq1tqvaCgkFb8cCA/edit?usp=sharing"",""หนองบัวลำภู!I312"")"),10)</f>
        <v>10</v>
      </c>
      <c r="J417" s="392">
        <f ca="1">IFERROR(__xludf.DUMMYFUNCTION("IMPORTRANGE(""https://docs.google.com/spreadsheets/d/1XL5vhW3sbDhbH9Cz0tuDiY8C3ctxq1tqvaCgkFb8cCA/edit?usp=sharing"",""หนองบัวลำภู!J312"")"),10)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IFERROR(__xludf.DUMMYFUNCTION("IMPORTRANGE(""https://docs.google.com/spreadsheets/d/1XL5vhW3sbDhbH9Cz0tuDiY8C3ctxq1tqvaCgkFb8cCA/edit?usp=sharing"",""หนองบัวลำภู!I313"")"),30)</f>
        <v>30</v>
      </c>
      <c r="J418" s="393">
        <f ca="1">IFERROR(__xludf.DUMMYFUNCTION("IMPORTRANGE(""https://docs.google.com/spreadsheets/d/1XL5vhW3sbDhbH9Cz0tuDiY8C3ctxq1tqvaCgkFb8cCA/edit?usp=sharing"",""หนองบัวลำภู!J313"")"),30)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IFERROR(__xludf.DUMMYFUNCTION("IMPORTRANGE(""https://docs.google.com/spreadsheets/d/1XL5vhW3sbDhbH9Cz0tuDiY8C3ctxq1tqvaCgkFb8cCA/edit?usp=sharing"",""หนองบัวลำภู!I314"")"),10)</f>
        <v>10</v>
      </c>
      <c r="J419" s="394">
        <f ca="1">IFERROR(__xludf.DUMMYFUNCTION("IMPORTRANGE(""https://docs.google.com/spreadsheets/d/1XL5vhW3sbDhbH9Cz0tuDiY8C3ctxq1tqvaCgkFb8cCA/edit?usp=sharing"",""หนองบัวลำภู!J314"")"),10)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IFERROR(__xludf.DUMMYFUNCTION("IMPORTRANGE(""https://docs.google.com/spreadsheets/d/1XL5vhW3sbDhbH9Cz0tuDiY8C3ctxq1tqvaCgkFb8cCA/edit?usp=sharing"",""หนองบัวลำภู!I315"")"),10)</f>
        <v>10</v>
      </c>
      <c r="J420" s="394">
        <f ca="1">IFERROR(__xludf.DUMMYFUNCTION("IMPORTRANGE(""https://docs.google.com/spreadsheets/d/1XL5vhW3sbDhbH9Cz0tuDiY8C3ctxq1tqvaCgkFb8cCA/edit?usp=sharing"",""หนองบัวลำภู!J315"")"),10)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IFERROR(__xludf.DUMMYFUNCTION("IMPORTRANGE(""https://docs.google.com/spreadsheets/d/1XL5vhW3sbDhbH9Cz0tuDiY8C3ctxq1tqvaCgkFb8cCA/edit?usp=sharing"",""หนองบัวลำภู!I316"")"),25)</f>
        <v>25</v>
      </c>
      <c r="J421" s="392">
        <f ca="1">IFERROR(__xludf.DUMMYFUNCTION("IMPORTRANGE(""https://docs.google.com/spreadsheets/d/1XL5vhW3sbDhbH9Cz0tuDiY8C3ctxq1tqvaCgkFb8cCA/edit?usp=sharing"",""หนองบัวลำภู!J316"")"),25)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IFERROR(__xludf.DUMMYFUNCTION("IMPORTRANGE(""https://docs.google.com/spreadsheets/d/1XL5vhW3sbDhbH9Cz0tuDiY8C3ctxq1tqvaCgkFb8cCA/edit?usp=sharing"",""หนองบัวลำภู!I317"")"),75)</f>
        <v>75</v>
      </c>
      <c r="J422" s="393">
        <f ca="1">IFERROR(__xludf.DUMMYFUNCTION("IMPORTRANGE(""https://docs.google.com/spreadsheets/d/1XL5vhW3sbDhbH9Cz0tuDiY8C3ctxq1tqvaCgkFb8cCA/edit?usp=sharing"",""หนองบัวลำภู!J317"")"),75)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IFERROR(__xludf.DUMMYFUNCTION("IMPORTRANGE(""https://docs.google.com/spreadsheets/d/1XL5vhW3sbDhbH9Cz0tuDiY8C3ctxq1tqvaCgkFb8cCA/edit?usp=sharing"",""หนองบัวลำภู!I318"")"),25)</f>
        <v>25</v>
      </c>
      <c r="J423" s="394">
        <f ca="1">IFERROR(__xludf.DUMMYFUNCTION("IMPORTRANGE(""https://docs.google.com/spreadsheets/d/1XL5vhW3sbDhbH9Cz0tuDiY8C3ctxq1tqvaCgkFb8cCA/edit?usp=sharing"",""หนองบัวลำภู!J318"")"),25)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IFERROR(__xludf.DUMMYFUNCTION("IMPORTRANGE(""https://docs.google.com/spreadsheets/d/1XL5vhW3sbDhbH9Cz0tuDiY8C3ctxq1tqvaCgkFb8cCA/edit?usp=sharing"",""หนองบัวลำภู!I319"")"),25)</f>
        <v>25</v>
      </c>
      <c r="J424" s="394">
        <f ca="1">IFERROR(__xludf.DUMMYFUNCTION("IMPORTRANGE(""https://docs.google.com/spreadsheets/d/1XL5vhW3sbDhbH9Cz0tuDiY8C3ctxq1tqvaCgkFb8cCA/edit?usp=sharing"",""หนองบัวลำภู!J319"")"),25)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IFERROR(__xludf.DUMMYFUNCTION("IMPORTRANGE(""https://docs.google.com/spreadsheets/d/1XL5vhW3sbDhbH9Cz0tuDiY8C3ctxq1tqvaCgkFb8cCA/edit?usp=sharing"",""หนองบัวลำภู!I320"")"),25)</f>
        <v>25</v>
      </c>
      <c r="J425" s="394">
        <f ca="1">IFERROR(__xludf.DUMMYFUNCTION("IMPORTRANGE(""https://docs.google.com/spreadsheets/d/1XL5vhW3sbDhbH9Cz0tuDiY8C3ctxq1tqvaCgkFb8cCA/edit?usp=sharing"",""หนองบัวลำภู!J320"")"),25)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IFERROR(__xludf.DUMMYFUNCTION("IMPORTRANGE(""https://docs.google.com/spreadsheets/d/1XL5vhW3sbDhbH9Cz0tuDiY8C3ctxq1tqvaCgkFb8cCA/edit?usp=sharing"",""หนองบัวลำภู!I321"")"),10)</f>
        <v>10</v>
      </c>
      <c r="J426" s="392">
        <f ca="1">IFERROR(__xludf.DUMMYFUNCTION("IMPORTRANGE(""https://docs.google.com/spreadsheets/d/1XL5vhW3sbDhbH9Cz0tuDiY8C3ctxq1tqvaCgkFb8cCA/edit?usp=sharing"",""หนองบัวลำภู!J321"")"),10)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IFERROR(__xludf.DUMMYFUNCTION("IMPORTRANGE(""https://docs.google.com/spreadsheets/d/1XL5vhW3sbDhbH9Cz0tuDiY8C3ctxq1tqvaCgkFb8cCA/edit?usp=sharing"",""หนองบัวลำภู!I322"")"),30)</f>
        <v>30</v>
      </c>
      <c r="J427" s="393">
        <f ca="1">IFERROR(__xludf.DUMMYFUNCTION("IMPORTRANGE(""https://docs.google.com/spreadsheets/d/1XL5vhW3sbDhbH9Cz0tuDiY8C3ctxq1tqvaCgkFb8cCA/edit?usp=sharing"",""หนองบัวลำภู!J322"")"),30)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IFERROR(__xludf.DUMMYFUNCTION("IMPORTRANGE(""https://docs.google.com/spreadsheets/d/1XL5vhW3sbDhbH9Cz0tuDiY8C3ctxq1tqvaCgkFb8cCA/edit?usp=sharing"",""หนองบัวลำภู!I323"")"),10)</f>
        <v>10</v>
      </c>
      <c r="J428" s="394">
        <f ca="1">IFERROR(__xludf.DUMMYFUNCTION("IMPORTRANGE(""https://docs.google.com/spreadsheets/d/1XL5vhW3sbDhbH9Cz0tuDiY8C3ctxq1tqvaCgkFb8cCA/edit?usp=sharing"",""หนองบัวลำภู!J323"")"),10)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IFERROR(__xludf.DUMMYFUNCTION("IMPORTRANGE(""https://docs.google.com/spreadsheets/d/1XL5vhW3sbDhbH9Cz0tuDiY8C3ctxq1tqvaCgkFb8cCA/edit?usp=sharing"",""หนองบัวลำภู!I324"")"),10)</f>
        <v>10</v>
      </c>
      <c r="J429" s="394">
        <f ca="1">IFERROR(__xludf.DUMMYFUNCTION("IMPORTRANGE(""https://docs.google.com/spreadsheets/d/1XL5vhW3sbDhbH9Cz0tuDiY8C3ctxq1tqvaCgkFb8cCA/edit?usp=sharing"",""หนองบัวลำภู!J324"")"),10)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IFERROR(__xludf.DUMMYFUNCTION("IMPORTRANGE(""https://docs.google.com/spreadsheets/d/1XL5vhW3sbDhbH9Cz0tuDiY8C3ctxq1tqvaCgkFb8cCA/edit?usp=sharing"",""หนองบัวลำภู!I325"")"),35)</f>
        <v>35</v>
      </c>
      <c r="J430" s="392">
        <f ca="1">IFERROR(__xludf.DUMMYFUNCTION("IMPORTRANGE(""https://docs.google.com/spreadsheets/d/1XL5vhW3sbDhbH9Cz0tuDiY8C3ctxq1tqvaCgkFb8cCA/edit?usp=sharing"",""หนองบัวลำภู!J325"")"),35)</f>
        <v>35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IFERROR(__xludf.DUMMYFUNCTION("IMPORTRANGE(""https://docs.google.com/spreadsheets/d/1XL5vhW3sbDhbH9Cz0tuDiY8C3ctxq1tqvaCgkFb8cCA/edit?usp=sharing"",""หนองบัวลำภู!I326"")"),10)</f>
        <v>10</v>
      </c>
      <c r="J431" s="394">
        <f ca="1">IFERROR(__xludf.DUMMYFUNCTION("IMPORTRANGE(""https://docs.google.com/spreadsheets/d/1XL5vhW3sbDhbH9Cz0tuDiY8C3ctxq1tqvaCgkFb8cCA/edit?usp=sharing"",""หนองบัวลำภู!J326"")"),10)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IFERROR(__xludf.DUMMYFUNCTION("IMPORTRANGE(""https://docs.google.com/spreadsheets/d/1XL5vhW3sbDhbH9Cz0tuDiY8C3ctxq1tqvaCgkFb8cCA/edit?usp=sharing"",""หนองบัวลำภู!I327"")"),25)</f>
        <v>25</v>
      </c>
      <c r="J432" s="394">
        <f ca="1">IFERROR(__xludf.DUMMYFUNCTION("IMPORTRANGE(""https://docs.google.com/spreadsheets/d/1XL5vhW3sbDhbH9Cz0tuDiY8C3ctxq1tqvaCgkFb8cCA/edit?usp=sharing"",""หนองบัวลำภู!J327"")"),25)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IFERROR(__xludf.DUMMYFUNCTION("IMPORTRANGE(""https://docs.google.com/spreadsheets/d/1XL5vhW3sbDhbH9Cz0tuDiY8C3ctxq1tqvaCgkFb8cCA/edit?usp=sharing"",""หนองบัวลำภู!J328"")"),0)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IFERROR(__xludf.DUMMYFUNCTION("IMPORTRANGE(""https://docs.google.com/spreadsheets/d/1XL5vhW3sbDhbH9Cz0tuDiY8C3ctxq1tqvaCgkFb8cCA/edit?usp=sharing"",""หนองบัวลำภู!J329"")"),0)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IFERROR(__xludf.DUMMYFUNCTION("IMPORTRANGE(""https://docs.google.com/spreadsheets/d/1XL5vhW3sbDhbH9Cz0tuDiY8C3ctxq1tqvaCgkFb8cCA/edit?usp=sharing"",""หนองบัวลำภู!I330"")"),15)</f>
        <v>15</v>
      </c>
      <c r="J435" s="410">
        <f ca="1">IFERROR(__xludf.DUMMYFUNCTION("IMPORTRANGE(""https://docs.google.com/spreadsheets/d/1XL5vhW3sbDhbH9Cz0tuDiY8C3ctxq1tqvaCgkFb8cCA/edit?usp=sharing"",""หนองบัวลำภู!J330"")"),15)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IFERROR(__xludf.DUMMYFUNCTION("IMPORTRANGE(""https://docs.google.com/spreadsheets/d/1XL5vhW3sbDhbH9Cz0tuDiY8C3ctxq1tqvaCgkFb8cCA/edit?usp=sharing"",""หนองบัวลำภู!L330"")"),88000)</f>
        <v>88000</v>
      </c>
      <c r="M435" s="412"/>
      <c r="N435" s="412">
        <f ca="1">IFERROR(__xludf.DUMMYFUNCTION("IMPORTRANGE(""https://docs.google.com/spreadsheets/d/1XL5vhW3sbDhbH9Cz0tuDiY8C3ctxq1tqvaCgkFb8cCA/edit?usp=sharing"",""หนองบัวลำภู!M330"")"),78074)</f>
        <v>78074</v>
      </c>
      <c r="O435" s="412">
        <f t="shared" ref="O435:O439" ca="1" si="114">+IF(L435&gt;0,N435*100/L435,0)</f>
        <v>88.720454545454544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IFERROR(__xludf.DUMMYFUNCTION("IMPORTRANGE(""https://docs.google.com/spreadsheets/d/1XL5vhW3sbDhbH9Cz0tuDiY8C3ctxq1tqvaCgkFb8cCA/edit?usp=sharing"",""หนองบัวลำภู!L331"")"),0)</f>
        <v>0</v>
      </c>
      <c r="M436" s="164"/>
      <c r="N436" s="169">
        <f ca="1">IFERROR(__xludf.DUMMYFUNCTION("IMPORTRANGE(""https://docs.google.com/spreadsheets/d/1XL5vhW3sbDhbH9Cz0tuDiY8C3ctxq1tqvaCgkFb8cCA/edit?usp=sharing"",""หนองบัวลำภู!M331"")"),0)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IFERROR(__xludf.DUMMYFUNCTION("IMPORTRANGE(""https://docs.google.com/spreadsheets/d/1XL5vhW3sbDhbH9Cz0tuDiY8C3ctxq1tqvaCgkFb8cCA/edit?usp=sharing"",""หนองบัวลำภู!L332"")"),88000)</f>
        <v>88000</v>
      </c>
      <c r="M437" s="165"/>
      <c r="N437" s="169">
        <f ca="1">IFERROR(__xludf.DUMMYFUNCTION("IMPORTRANGE(""https://docs.google.com/spreadsheets/d/1XL5vhW3sbDhbH9Cz0tuDiY8C3ctxq1tqvaCgkFb8cCA/edit?usp=sharing"",""หนองบัวลำภู!M332"")"),78074)</f>
        <v>78074</v>
      </c>
      <c r="O437" s="169">
        <f t="shared" ca="1" si="114"/>
        <v>88.720454545454544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IFERROR(__xludf.DUMMYFUNCTION("IMPORTRANGE(""https://docs.google.com/spreadsheets/d/1XL5vhW3sbDhbH9Cz0tuDiY8C3ctxq1tqvaCgkFb8cCA/edit?usp=sharing"",""หนองบัวลำภู!L333"")"),0)</f>
        <v>0</v>
      </c>
      <c r="M438" s="169"/>
      <c r="N438" s="169">
        <f ca="1">IFERROR(__xludf.DUMMYFUNCTION("IMPORTRANGE(""https://docs.google.com/spreadsheets/d/1XL5vhW3sbDhbH9Cz0tuDiY8C3ctxq1tqvaCgkFb8cCA/edit?usp=sharing"",""หนองบัวลำภู!M333"")"),0)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IFERROR(__xludf.DUMMYFUNCTION("IMPORTRANGE(""https://docs.google.com/spreadsheets/d/1XL5vhW3sbDhbH9Cz0tuDiY8C3ctxq1tqvaCgkFb8cCA/edit?usp=sharing"",""หนองบัวลำภู!L334"")"),88000)</f>
        <v>88000</v>
      </c>
      <c r="M439" s="169"/>
      <c r="N439" s="169">
        <f ca="1">IFERROR(__xludf.DUMMYFUNCTION("IMPORTRANGE(""https://docs.google.com/spreadsheets/d/1XL5vhW3sbDhbH9Cz0tuDiY8C3ctxq1tqvaCgkFb8cCA/edit?usp=sharing"",""หนองบัวลำภู!M334"")"),78074)</f>
        <v>78074</v>
      </c>
      <c r="O439" s="169">
        <f t="shared" ca="1" si="114"/>
        <v>88.720454545454544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IFERROR(__xludf.DUMMYFUNCTION("IMPORTRANGE(""https://docs.google.com/spreadsheets/d/1XL5vhW3sbDhbH9Cz0tuDiY8C3ctxq1tqvaCgkFb8cCA/edit?usp=sharing"",""หนองบัวลำภู!M335"")"),67919)</f>
        <v>67919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IFERROR(__xludf.DUMMYFUNCTION("IMPORTRANGE(""https://docs.google.com/spreadsheets/d/1XL5vhW3sbDhbH9Cz0tuDiY8C3ctxq1tqvaCgkFb8cCA/edit?usp=sharing"",""หนองบัวลำภู!M336"")"),0)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IFERROR(__xludf.DUMMYFUNCTION("IMPORTRANGE(""https://docs.google.com/spreadsheets/d/1XL5vhW3sbDhbH9Cz0tuDiY8C3ctxq1tqvaCgkFb8cCA/edit?usp=sharing"",""หนองบัวลำภู!M337"")"),0)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IFERROR(__xludf.DUMMYFUNCTION("IMPORTRANGE(""https://docs.google.com/spreadsheets/d/1XL5vhW3sbDhbH9Cz0tuDiY8C3ctxq1tqvaCgkFb8cCA/edit?usp=sharing"",""หนองบัวลำภู!M338"")"),10155)</f>
        <v>10155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IFERROR(__xludf.DUMMYFUNCTION("IMPORTRANGE(""https://docs.google.com/spreadsheets/d/1XL5vhW3sbDhbH9Cz0tuDiY8C3ctxq1tqvaCgkFb8cCA/edit?usp=sharing"",""หนองบัวลำภู!J340"")"),0)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IFERROR(__xludf.DUMMYFUNCTION("IMPORTRANGE(""https://docs.google.com/spreadsheets/d/1XL5vhW3sbDhbH9Cz0tuDiY8C3ctxq1tqvaCgkFb8cCA/edit?usp=sharing"",""หนองบัวลำภู!J341"")"),1)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IFERROR(__xludf.DUMMYFUNCTION("IMPORTRANGE(""https://docs.google.com/spreadsheets/d/1XL5vhW3sbDhbH9Cz0tuDiY8C3ctxq1tqvaCgkFb8cCA/edit?usp=sharing"",""หนองบัวลำภู!J342"")"),1)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IFERROR(__xludf.DUMMYFUNCTION("IMPORTRANGE(""https://docs.google.com/spreadsheets/d/1XL5vhW3sbDhbH9Cz0tuDiY8C3ctxq1tqvaCgkFb8cCA/edit?usp=sharing"",""หนองบัวลำภู!J343"")"),1)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IFERROR(__xludf.DUMMYFUNCTION("IMPORTRANGE(""https://docs.google.com/spreadsheets/d/1XL5vhW3sbDhbH9Cz0tuDiY8C3ctxq1tqvaCgkFb8cCA/edit?usp=sharing"",""หนองบัวลำภู!I344"")"),15)</f>
        <v>15</v>
      </c>
      <c r="J449" s="201">
        <f ca="1">IFERROR(__xludf.DUMMYFUNCTION("IMPORTRANGE(""https://docs.google.com/spreadsheets/d/1XL5vhW3sbDhbH9Cz0tuDiY8C3ctxq1tqvaCgkFb8cCA/edit?usp=sharing"",""หนองบัวลำภู!J344"")"),15)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IFERROR(__xludf.DUMMYFUNCTION("IMPORTRANGE(""https://docs.google.com/spreadsheets/d/1XL5vhW3sbDhbH9Cz0tuDiY8C3ctxq1tqvaCgkFb8cCA/edit?usp=sharing"",""หนองบัวลำภู!I345"")"),15)</f>
        <v>15</v>
      </c>
      <c r="J450" s="189">
        <f ca="1">IFERROR(__xludf.DUMMYFUNCTION("IMPORTRANGE(""https://docs.google.com/spreadsheets/d/1XL5vhW3sbDhbH9Cz0tuDiY8C3ctxq1tqvaCgkFb8cCA/edit?usp=sharing"",""หนองบัวลำภู!J345"")"),15)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IFERROR(__xludf.DUMMYFUNCTION("IMPORTRANGE(""https://docs.google.com/spreadsheets/d/1XL5vhW3sbDhbH9Cz0tuDiY8C3ctxq1tqvaCgkFb8cCA/edit?usp=sharing"",""หนองบัวลำภู!I346"")"),0)</f>
        <v>0</v>
      </c>
      <c r="J451" s="188">
        <f ca="1">IFERROR(__xludf.DUMMYFUNCTION("IMPORTRANGE(""https://docs.google.com/spreadsheets/d/1XL5vhW3sbDhbH9Cz0tuDiY8C3ctxq1tqvaCgkFb8cCA/edit?usp=sharing"",""หนองบัวลำภู!J346"")"),0)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IFERROR(__xludf.DUMMYFUNCTION("IMPORTRANGE(""https://docs.google.com/spreadsheets/d/1XL5vhW3sbDhbH9Cz0tuDiY8C3ctxq1tqvaCgkFb8cCA/edit?usp=sharing"",""หนองบัวลำภู!I347"")"),0)</f>
        <v>0</v>
      </c>
      <c r="J452" s="188">
        <f ca="1">IFERROR(__xludf.DUMMYFUNCTION("IMPORTRANGE(""https://docs.google.com/spreadsheets/d/1XL5vhW3sbDhbH9Cz0tuDiY8C3ctxq1tqvaCgkFb8cCA/edit?usp=sharing"",""หนองบัวลำภู!J347"")"),0)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IFERROR(__xludf.DUMMYFUNCTION("IMPORTRANGE(""https://docs.google.com/spreadsheets/d/1XL5vhW3sbDhbH9Cz0tuDiY8C3ctxq1tqvaCgkFb8cCA/edit?usp=sharing"",""หนองบัวลำภู!J348"")"),0)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IFERROR(__xludf.DUMMYFUNCTION("IMPORTRANGE(""https://docs.google.com/spreadsheets/d/1XL5vhW3sbDhbH9Cz0tuDiY8C3ctxq1tqvaCgkFb8cCA/edit?usp=sharing"",""หนองบัวลำภู!J349"")"),0)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IFERROR(__xludf.DUMMYFUNCTION("IMPORTRANGE(""https://docs.google.com/spreadsheets/d/1XL5vhW3sbDhbH9Cz0tuDiY8C3ctxq1tqvaCgkFb8cCA/edit?usp=sharing"",""หนองบัวลำภู!I350"")"),42886)</f>
        <v>42886</v>
      </c>
      <c r="J455" s="371">
        <f ca="1">IFERROR(__xludf.DUMMYFUNCTION("IMPORTRANGE(""https://docs.google.com/spreadsheets/d/1XL5vhW3sbDhbH9Cz0tuDiY8C3ctxq1tqvaCgkFb8cCA/edit?usp=sharing"",""หนองบัวลำภู!J350"")"),42886.17)</f>
        <v>42886.17</v>
      </c>
      <c r="K455" s="372">
        <f ca="1">IF(I455&gt;0,J455*100/I455,0)</f>
        <v>100.00039639975749</v>
      </c>
      <c r="L455" s="373">
        <f ca="1">IFERROR(__xludf.DUMMYFUNCTION("IMPORTRANGE(""https://docs.google.com/spreadsheets/d/1XL5vhW3sbDhbH9Cz0tuDiY8C3ctxq1tqvaCgkFb8cCA/edit?usp=sharing"",""หนองบัวลำภู!L350"")"),733096)</f>
        <v>733096</v>
      </c>
      <c r="M455" s="373"/>
      <c r="N455" s="373">
        <f ca="1">IFERROR(__xludf.DUMMYFUNCTION("IMPORTRANGE(""https://docs.google.com/spreadsheets/d/1XL5vhW3sbDhbH9Cz0tuDiY8C3ctxq1tqvaCgkFb8cCA/edit?usp=sharing"",""หนองบัวลำภู!M350"")"),190937.06)</f>
        <v>190937.06</v>
      </c>
      <c r="O455" s="373">
        <f t="shared" ref="O455:O459" ca="1" si="116">+IF(L455&gt;0,N455*100/L455,0)</f>
        <v>26.045301024695267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IFERROR(__xludf.DUMMYFUNCTION("IMPORTRANGE(""https://docs.google.com/spreadsheets/d/1XL5vhW3sbDhbH9Cz0tuDiY8C3ctxq1tqvaCgkFb8cCA/edit?usp=sharing"",""หนองบัวลำภู!L351"")"),0)</f>
        <v>0</v>
      </c>
      <c r="M456" s="164"/>
      <c r="N456" s="169">
        <f ca="1">IFERROR(__xludf.DUMMYFUNCTION("IMPORTRANGE(""https://docs.google.com/spreadsheets/d/1XL5vhW3sbDhbH9Cz0tuDiY8C3ctxq1tqvaCgkFb8cCA/edit?usp=sharing"",""หนองบัวลำภู!M351"")"),0)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IFERROR(__xludf.DUMMYFUNCTION("IMPORTRANGE(""https://docs.google.com/spreadsheets/d/1XL5vhW3sbDhbH9Cz0tuDiY8C3ctxq1tqvaCgkFb8cCA/edit?usp=sharing"",""หนองบัวลำภู!L352"")"),733096)</f>
        <v>733096</v>
      </c>
      <c r="M457" s="165"/>
      <c r="N457" s="169">
        <f ca="1">IFERROR(__xludf.DUMMYFUNCTION("IMPORTRANGE(""https://docs.google.com/spreadsheets/d/1XL5vhW3sbDhbH9Cz0tuDiY8C3ctxq1tqvaCgkFb8cCA/edit?usp=sharing"",""หนองบัวลำภู!M352"")"),190937.06)</f>
        <v>190937.06</v>
      </c>
      <c r="O457" s="169">
        <f t="shared" ca="1" si="116"/>
        <v>26.045301024695267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IFERROR(__xludf.DUMMYFUNCTION("IMPORTRANGE(""https://docs.google.com/spreadsheets/d/1XL5vhW3sbDhbH9Cz0tuDiY8C3ctxq1tqvaCgkFb8cCA/edit?usp=sharing"",""หนองบัวลำภู!L353"")"),0)</f>
        <v>0</v>
      </c>
      <c r="M458" s="169"/>
      <c r="N458" s="169">
        <f ca="1">IFERROR(__xludf.DUMMYFUNCTION("IMPORTRANGE(""https://docs.google.com/spreadsheets/d/1XL5vhW3sbDhbH9Cz0tuDiY8C3ctxq1tqvaCgkFb8cCA/edit?usp=sharing"",""หนองบัวลำภู!M353"")"),0)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IFERROR(__xludf.DUMMYFUNCTION("IMPORTRANGE(""https://docs.google.com/spreadsheets/d/1XL5vhW3sbDhbH9Cz0tuDiY8C3ctxq1tqvaCgkFb8cCA/edit?usp=sharing"",""หนองบัวลำภู!L354"")"),733096)</f>
        <v>733096</v>
      </c>
      <c r="M459" s="169"/>
      <c r="N459" s="169">
        <f ca="1">IFERROR(__xludf.DUMMYFUNCTION("IMPORTRANGE(""https://docs.google.com/spreadsheets/d/1XL5vhW3sbDhbH9Cz0tuDiY8C3ctxq1tqvaCgkFb8cCA/edit?usp=sharing"",""หนองบัวลำภู!M354"")"),190937.06)</f>
        <v>190937.06</v>
      </c>
      <c r="O459" s="169">
        <f t="shared" ca="1" si="116"/>
        <v>26.045301024695267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IFERROR(__xludf.DUMMYFUNCTION("IMPORTRANGE(""https://docs.google.com/spreadsheets/d/1XL5vhW3sbDhbH9Cz0tuDiY8C3ctxq1tqvaCgkFb8cCA/edit?usp=sharing"",""หนองบัวลำภู!M355"")"),0)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IFERROR(__xludf.DUMMYFUNCTION("IMPORTRANGE(""https://docs.google.com/spreadsheets/d/1XL5vhW3sbDhbH9Cz0tuDiY8C3ctxq1tqvaCgkFb8cCA/edit?usp=sharing"",""หนองบัวลำภู!M356"")"),0)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IFERROR(__xludf.DUMMYFUNCTION("IMPORTRANGE(""https://docs.google.com/spreadsheets/d/1XL5vhW3sbDhbH9Cz0tuDiY8C3ctxq1tqvaCgkFb8cCA/edit?usp=sharing"",""หนองบัวลำภู!M357"")"),61600.06)</f>
        <v>61600.06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IFERROR(__xludf.DUMMYFUNCTION("IMPORTRANGE(""https://docs.google.com/spreadsheets/d/1XL5vhW3sbDhbH9Cz0tuDiY8C3ctxq1tqvaCgkFb8cCA/edit?usp=sharing"",""หนองบัวลำภู!M358"")"),129337)</f>
        <v>129337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IFERROR(__xludf.DUMMYFUNCTION("IMPORTRANGE(""https://docs.google.com/spreadsheets/d/1XL5vhW3sbDhbH9Cz0tuDiY8C3ctxq1tqvaCgkFb8cCA/edit?usp=sharing"",""หนองบัวลำภู!I359"")"),42886)</f>
        <v>42886</v>
      </c>
      <c r="J464" s="267">
        <f ca="1">IFERROR(__xludf.DUMMYFUNCTION("IMPORTRANGE(""https://docs.google.com/spreadsheets/d/1XL5vhW3sbDhbH9Cz0tuDiY8C3ctxq1tqvaCgkFb8cCA/edit?usp=sharing"",""หนองบัวลำภู!J359"")"),42886.17)</f>
        <v>42886.17</v>
      </c>
      <c r="K464" s="268">
        <f t="shared" ref="K464:K515" ca="1" si="117">IF(I464&gt;0,J464*100/I464,0)</f>
        <v>100.00039639975749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IFERROR(__xludf.DUMMYFUNCTION("IMPORTRANGE(""https://docs.google.com/spreadsheets/d/1XL5vhW3sbDhbH9Cz0tuDiY8C3ctxq1tqvaCgkFb8cCA/edit?usp=sharing"",""หนองบัวลำภู!I360"")"),42886)</f>
        <v>42886</v>
      </c>
      <c r="J465" s="420">
        <f ca="1">IFERROR(__xludf.DUMMYFUNCTION("IMPORTRANGE(""https://docs.google.com/spreadsheets/d/1XL5vhW3sbDhbH9Cz0tuDiY8C3ctxq1tqvaCgkFb8cCA/edit?usp=sharing"",""หนองบัวลำภู!J360"")"),42888)</f>
        <v>42888</v>
      </c>
      <c r="K465" s="202">
        <f t="shared" ca="1" si="117"/>
        <v>100.00466352655879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IFERROR(__xludf.DUMMYFUNCTION("IMPORTRANGE(""https://docs.google.com/spreadsheets/d/1XL5vhW3sbDhbH9Cz0tuDiY8C3ctxq1tqvaCgkFb8cCA/edit?usp=sharing"",""หนองบัวลำภู!I361"")"),4224)</f>
        <v>4224</v>
      </c>
      <c r="J466" s="420">
        <f ca="1">IFERROR(__xludf.DUMMYFUNCTION("IMPORTRANGE(""https://docs.google.com/spreadsheets/d/1XL5vhW3sbDhbH9Cz0tuDiY8C3ctxq1tqvaCgkFb8cCA/edit?usp=sharing"",""หนองบัวลำภู!J361"")"),4224)</f>
        <v>4224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IFERROR(__xludf.DUMMYFUNCTION("IMPORTRANGE(""https://docs.google.com/spreadsheets/d/1XL5vhW3sbDhbH9Cz0tuDiY8C3ctxq1tqvaCgkFb8cCA/edit?usp=sharing"",""หนองบัวลำภู!I362"")"),0)</f>
        <v>0</v>
      </c>
      <c r="J467" s="189">
        <f ca="1">IFERROR(__xludf.DUMMYFUNCTION("IMPORTRANGE(""https://docs.google.com/spreadsheets/d/1XL5vhW3sbDhbH9Cz0tuDiY8C3ctxq1tqvaCgkFb8cCA/edit?usp=sharing"",""หนองบัวลำภู!J362"")"),36013)</f>
        <v>36013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IFERROR(__xludf.DUMMYFUNCTION("IMPORTRANGE(""https://docs.google.com/spreadsheets/d/1XL5vhW3sbDhbH9Cz0tuDiY8C3ctxq1tqvaCgkFb8cCA/edit?usp=sharing"",""หนองบัวลำภู!I363"")"),0)</f>
        <v>0</v>
      </c>
      <c r="J468" s="189">
        <f ca="1">IFERROR(__xludf.DUMMYFUNCTION("IMPORTRANGE(""https://docs.google.com/spreadsheets/d/1XL5vhW3sbDhbH9Cz0tuDiY8C3ctxq1tqvaCgkFb8cCA/edit?usp=sharing"",""หนองบัวลำภู!J363"")"),3483)</f>
        <v>3483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IFERROR(__xludf.DUMMYFUNCTION("IMPORTRANGE(""https://docs.google.com/spreadsheets/d/1XL5vhW3sbDhbH9Cz0tuDiY8C3ctxq1tqvaCgkFb8cCA/edit?usp=sharing"",""หนองบัวลำภู!I364"")"),0)</f>
        <v>0</v>
      </c>
      <c r="J469" s="189">
        <f ca="1">IFERROR(__xludf.DUMMYFUNCTION("IMPORTRANGE(""https://docs.google.com/spreadsheets/d/1XL5vhW3sbDhbH9Cz0tuDiY8C3ctxq1tqvaCgkFb8cCA/edit?usp=sharing"",""หนองบัวลำภู!J364"")"),5328)</f>
        <v>5328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IFERROR(__xludf.DUMMYFUNCTION("IMPORTRANGE(""https://docs.google.com/spreadsheets/d/1XL5vhW3sbDhbH9Cz0tuDiY8C3ctxq1tqvaCgkFb8cCA/edit?usp=sharing"",""หนองบัวลำภู!I365"")"),0)</f>
        <v>0</v>
      </c>
      <c r="J470" s="189">
        <f ca="1">IFERROR(__xludf.DUMMYFUNCTION("IMPORTRANGE(""https://docs.google.com/spreadsheets/d/1XL5vhW3sbDhbH9Cz0tuDiY8C3ctxq1tqvaCgkFb8cCA/edit?usp=sharing"",""หนองบัวลำภู!J365"")"),631)</f>
        <v>631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IFERROR(__xludf.DUMMYFUNCTION("IMPORTRANGE(""https://docs.google.com/spreadsheets/d/1XL5vhW3sbDhbH9Cz0tuDiY8C3ctxq1tqvaCgkFb8cCA/edit?usp=sharing"",""หนองบัวลำภู!I366"")"),0)</f>
        <v>0</v>
      </c>
      <c r="J471" s="189">
        <f ca="1">IFERROR(__xludf.DUMMYFUNCTION("IMPORTRANGE(""https://docs.google.com/spreadsheets/d/1XL5vhW3sbDhbH9Cz0tuDiY8C3ctxq1tqvaCgkFb8cCA/edit?usp=sharing"",""หนองบัวลำภู!J366"")"),1547)</f>
        <v>1547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IFERROR(__xludf.DUMMYFUNCTION("IMPORTRANGE(""https://docs.google.com/spreadsheets/d/1XL5vhW3sbDhbH9Cz0tuDiY8C3ctxq1tqvaCgkFb8cCA/edit?usp=sharing"",""หนองบัวลำภู!I367"")"),0)</f>
        <v>0</v>
      </c>
      <c r="J472" s="189">
        <f ca="1">IFERROR(__xludf.DUMMYFUNCTION("IMPORTRANGE(""https://docs.google.com/spreadsheets/d/1XL5vhW3sbDhbH9Cz0tuDiY8C3ctxq1tqvaCgkFb8cCA/edit?usp=sharing"",""หนองบัวลำภู!J367"")"),110)</f>
        <v>110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IFERROR(__xludf.DUMMYFUNCTION("IMPORTRANGE(""https://docs.google.com/spreadsheets/d/1XL5vhW3sbDhbH9Cz0tuDiY8C3ctxq1tqvaCgkFb8cCA/edit?usp=sharing"",""หนองบัวลำภู!I368"")"),42886)</f>
        <v>42886</v>
      </c>
      <c r="J473" s="420">
        <f ca="1">IFERROR(__xludf.DUMMYFUNCTION("IMPORTRANGE(""https://docs.google.com/spreadsheets/d/1XL5vhW3sbDhbH9Cz0tuDiY8C3ctxq1tqvaCgkFb8cCA/edit?usp=sharing"",""หนองบัวลำภู!J368"")"),42888)</f>
        <v>42888</v>
      </c>
      <c r="K473" s="202">
        <f t="shared" ca="1" si="117"/>
        <v>100.00466352655879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IFERROR(__xludf.DUMMYFUNCTION("IMPORTRANGE(""https://docs.google.com/spreadsheets/d/1XL5vhW3sbDhbH9Cz0tuDiY8C3ctxq1tqvaCgkFb8cCA/edit?usp=sharing"",""หนองบัวลำภู!I369"")"),4224)</f>
        <v>4224</v>
      </c>
      <c r="J474" s="420">
        <f ca="1">IFERROR(__xludf.DUMMYFUNCTION("IMPORTRANGE(""https://docs.google.com/spreadsheets/d/1XL5vhW3sbDhbH9Cz0tuDiY8C3ctxq1tqvaCgkFb8cCA/edit?usp=sharing"",""หนองบัวลำภู!J369"")"),4224)</f>
        <v>4224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IFERROR(__xludf.DUMMYFUNCTION("IMPORTRANGE(""https://docs.google.com/spreadsheets/d/1XL5vhW3sbDhbH9Cz0tuDiY8C3ctxq1tqvaCgkFb8cCA/edit?usp=sharing"",""หนองบัวลำภู!I370"")"),0)</f>
        <v>0</v>
      </c>
      <c r="J475" s="189">
        <f ca="1">IFERROR(__xludf.DUMMYFUNCTION("IMPORTRANGE(""https://docs.google.com/spreadsheets/d/1XL5vhW3sbDhbH9Cz0tuDiY8C3ctxq1tqvaCgkFb8cCA/edit?usp=sharing"",""หนองบัวลำภู!J370"")"),36014)</f>
        <v>36014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IFERROR(__xludf.DUMMYFUNCTION("IMPORTRANGE(""https://docs.google.com/spreadsheets/d/1XL5vhW3sbDhbH9Cz0tuDiY8C3ctxq1tqvaCgkFb8cCA/edit?usp=sharing"",""หนองบัวลำภู!I371"")"),0)</f>
        <v>0</v>
      </c>
      <c r="J476" s="189">
        <f ca="1">IFERROR(__xludf.DUMMYFUNCTION("IMPORTRANGE(""https://docs.google.com/spreadsheets/d/1XL5vhW3sbDhbH9Cz0tuDiY8C3ctxq1tqvaCgkFb8cCA/edit?usp=sharing"",""หนองบัวลำภู!J371"")"),3484)</f>
        <v>3484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IFERROR(__xludf.DUMMYFUNCTION("IMPORTRANGE(""https://docs.google.com/spreadsheets/d/1XL5vhW3sbDhbH9Cz0tuDiY8C3ctxq1tqvaCgkFb8cCA/edit?usp=sharing"",""หนองบัวลำภู!I372"")"),0)</f>
        <v>0</v>
      </c>
      <c r="J477" s="189">
        <f ca="1">IFERROR(__xludf.DUMMYFUNCTION("IMPORTRANGE(""https://docs.google.com/spreadsheets/d/1XL5vhW3sbDhbH9Cz0tuDiY8C3ctxq1tqvaCgkFb8cCA/edit?usp=sharing"",""หนองบัวลำภู!J372"")"),5328)</f>
        <v>5328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IFERROR(__xludf.DUMMYFUNCTION("IMPORTRANGE(""https://docs.google.com/spreadsheets/d/1XL5vhW3sbDhbH9Cz0tuDiY8C3ctxq1tqvaCgkFb8cCA/edit?usp=sharing"",""หนองบัวลำภู!I373"")"),0)</f>
        <v>0</v>
      </c>
      <c r="J478" s="189">
        <f ca="1">IFERROR(__xludf.DUMMYFUNCTION("IMPORTRANGE(""https://docs.google.com/spreadsheets/d/1XL5vhW3sbDhbH9Cz0tuDiY8C3ctxq1tqvaCgkFb8cCA/edit?usp=sharing"",""หนองบัวลำภู!J373"")"),631)</f>
        <v>631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IFERROR(__xludf.DUMMYFUNCTION("IMPORTRANGE(""https://docs.google.com/spreadsheets/d/1XL5vhW3sbDhbH9Cz0tuDiY8C3ctxq1tqvaCgkFb8cCA/edit?usp=sharing"",""หนองบัวลำภู!I374"")"),0)</f>
        <v>0</v>
      </c>
      <c r="J479" s="189">
        <f ca="1">IFERROR(__xludf.DUMMYFUNCTION("IMPORTRANGE(""https://docs.google.com/spreadsheets/d/1XL5vhW3sbDhbH9Cz0tuDiY8C3ctxq1tqvaCgkFb8cCA/edit?usp=sharing"",""หนองบัวลำภู!J374"")"),1546)</f>
        <v>1546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IFERROR(__xludf.DUMMYFUNCTION("IMPORTRANGE(""https://docs.google.com/spreadsheets/d/1XL5vhW3sbDhbH9Cz0tuDiY8C3ctxq1tqvaCgkFb8cCA/edit?usp=sharing"",""หนองบัวลำภู!I375"")"),0)</f>
        <v>0</v>
      </c>
      <c r="J480" s="189">
        <f ca="1">IFERROR(__xludf.DUMMYFUNCTION("IMPORTRANGE(""https://docs.google.com/spreadsheets/d/1XL5vhW3sbDhbH9Cz0tuDiY8C3ctxq1tqvaCgkFb8cCA/edit?usp=sharing"",""หนองบัวลำภู!J375"")"),109)</f>
        <v>109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IFERROR(__xludf.DUMMYFUNCTION("IMPORTRANGE(""https://docs.google.com/spreadsheets/d/1XL5vhW3sbDhbH9Cz0tuDiY8C3ctxq1tqvaCgkFb8cCA/edit?usp=sharing"",""หนองบัวลำภู!I376"")"),42886)</f>
        <v>42886</v>
      </c>
      <c r="J481" s="420">
        <f ca="1">IFERROR(__xludf.DUMMYFUNCTION("IMPORTRANGE(""https://docs.google.com/spreadsheets/d/1XL5vhW3sbDhbH9Cz0tuDiY8C3ctxq1tqvaCgkFb8cCA/edit?usp=sharing"",""หนองบัวลำภู!J376"")"),42886.17)</f>
        <v>42886.17</v>
      </c>
      <c r="K481" s="202">
        <f t="shared" ca="1" si="117"/>
        <v>100.00039639975749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IFERROR(__xludf.DUMMYFUNCTION("IMPORTRANGE(""https://docs.google.com/spreadsheets/d/1XL5vhW3sbDhbH9Cz0tuDiY8C3ctxq1tqvaCgkFb8cCA/edit?usp=sharing"",""หนองบัวลำภู!I377"")"),4224)</f>
        <v>4224</v>
      </c>
      <c r="J482" s="420">
        <f ca="1">IFERROR(__xludf.DUMMYFUNCTION("IMPORTRANGE(""https://docs.google.com/spreadsheets/d/1XL5vhW3sbDhbH9Cz0tuDiY8C3ctxq1tqvaCgkFb8cCA/edit?usp=sharing"",""หนองบัวลำภู!J377"")"),4224)</f>
        <v>4224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IFERROR(__xludf.DUMMYFUNCTION("IMPORTRANGE(""https://docs.google.com/spreadsheets/d/1XL5vhW3sbDhbH9Cz0tuDiY8C3ctxq1tqvaCgkFb8cCA/edit?usp=sharing"",""หนองบัวลำภู!I378"")"),0)</f>
        <v>0</v>
      </c>
      <c r="J483" s="189">
        <f ca="1">IFERROR(__xludf.DUMMYFUNCTION("IMPORTRANGE(""https://docs.google.com/spreadsheets/d/1XL5vhW3sbDhbH9Cz0tuDiY8C3ctxq1tqvaCgkFb8cCA/edit?usp=sharing"",""หนองบัวลำภู!J378"")"),36012.9)</f>
        <v>36012.9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IFERROR(__xludf.DUMMYFUNCTION("IMPORTRANGE(""https://docs.google.com/spreadsheets/d/1XL5vhW3sbDhbH9Cz0tuDiY8C3ctxq1tqvaCgkFb8cCA/edit?usp=sharing"",""หนองบัวลำภู!I379"")"),0)</f>
        <v>0</v>
      </c>
      <c r="J484" s="189">
        <f ca="1">IFERROR(__xludf.DUMMYFUNCTION("IMPORTRANGE(""https://docs.google.com/spreadsheets/d/1XL5vhW3sbDhbH9Cz0tuDiY8C3ctxq1tqvaCgkFb8cCA/edit?usp=sharing"",""หนองบัวลำภู!J379"")"),3484)</f>
        <v>3484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IFERROR(__xludf.DUMMYFUNCTION("IMPORTRANGE(""https://docs.google.com/spreadsheets/d/1XL5vhW3sbDhbH9Cz0tuDiY8C3ctxq1tqvaCgkFb8cCA/edit?usp=sharing"",""หนองบัวลำภู!I380"")"),0)</f>
        <v>0</v>
      </c>
      <c r="J485" s="189">
        <f ca="1">IFERROR(__xludf.DUMMYFUNCTION("IMPORTRANGE(""https://docs.google.com/spreadsheets/d/1XL5vhW3sbDhbH9Cz0tuDiY8C3ctxq1tqvaCgkFb8cCA/edit?usp=sharing"",""หนองบัวลำภู!J380"")"),5327.57)</f>
        <v>5327.57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IFERROR(__xludf.DUMMYFUNCTION("IMPORTRANGE(""https://docs.google.com/spreadsheets/d/1XL5vhW3sbDhbH9Cz0tuDiY8C3ctxq1tqvaCgkFb8cCA/edit?usp=sharing"",""หนองบัวลำภู!I381"")"),0)</f>
        <v>0</v>
      </c>
      <c r="J486" s="189">
        <f ca="1">IFERROR(__xludf.DUMMYFUNCTION("IMPORTRANGE(""https://docs.google.com/spreadsheets/d/1XL5vhW3sbDhbH9Cz0tuDiY8C3ctxq1tqvaCgkFb8cCA/edit?usp=sharing"",""หนองบัวลำภู!J381"")"),631)</f>
        <v>631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IFERROR(__xludf.DUMMYFUNCTION("IMPORTRANGE(""https://docs.google.com/spreadsheets/d/1XL5vhW3sbDhbH9Cz0tuDiY8C3ctxq1tqvaCgkFb8cCA/edit?usp=sharing"",""หนองบัวลำภู!I382"")"),0)</f>
        <v>0</v>
      </c>
      <c r="J487" s="420">
        <f ca="1">IFERROR(__xludf.DUMMYFUNCTION("IMPORTRANGE(""https://docs.google.com/spreadsheets/d/1XL5vhW3sbDhbH9Cz0tuDiY8C3ctxq1tqvaCgkFb8cCA/edit?usp=sharing"",""หนองบัวลำภู!J382"")"),1545.7)</f>
        <v>1545.7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IFERROR(__xludf.DUMMYFUNCTION("IMPORTRANGE(""https://docs.google.com/spreadsheets/d/1XL5vhW3sbDhbH9Cz0tuDiY8C3ctxq1tqvaCgkFb8cCA/edit?usp=sharing"",""หนองบัวลำภู!I383"")"),0)</f>
        <v>0</v>
      </c>
      <c r="J488" s="420">
        <f ca="1">IFERROR(__xludf.DUMMYFUNCTION("IMPORTRANGE(""https://docs.google.com/spreadsheets/d/1XL5vhW3sbDhbH9Cz0tuDiY8C3ctxq1tqvaCgkFb8cCA/edit?usp=sharing"",""หนองบัวลำภู!J383"")"),109)</f>
        <v>109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IFERROR(__xludf.DUMMYFUNCTION("IMPORTRANGE(""https://docs.google.com/spreadsheets/d/1XL5vhW3sbDhbH9Cz0tuDiY8C3ctxq1tqvaCgkFb8cCA/edit?usp=sharing"",""หนองบัวลำภู!I384"")"),0)</f>
        <v>0</v>
      </c>
      <c r="J489" s="189">
        <f ca="1">IFERROR(__xludf.DUMMYFUNCTION("IMPORTRANGE(""https://docs.google.com/spreadsheets/d/1XL5vhW3sbDhbH9Cz0tuDiY8C3ctxq1tqvaCgkFb8cCA/edit?usp=sharing"",""หนองบัวลำภู!J384"")"),1539.65)</f>
        <v>1539.65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IFERROR(__xludf.DUMMYFUNCTION("IMPORTRANGE(""https://docs.google.com/spreadsheets/d/1XL5vhW3sbDhbH9Cz0tuDiY8C3ctxq1tqvaCgkFb8cCA/edit?usp=sharing"",""หนองบัวลำภู!I385"")"),0)</f>
        <v>0</v>
      </c>
      <c r="J490" s="189">
        <f ca="1">IFERROR(__xludf.DUMMYFUNCTION("IMPORTRANGE(""https://docs.google.com/spreadsheets/d/1XL5vhW3sbDhbH9Cz0tuDiY8C3ctxq1tqvaCgkFb8cCA/edit?usp=sharing"",""หนองบัวลำภู!J385"")"),107)</f>
        <v>107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IFERROR(__xludf.DUMMYFUNCTION("IMPORTRANGE(""https://docs.google.com/spreadsheets/d/1XL5vhW3sbDhbH9Cz0tuDiY8C3ctxq1tqvaCgkFb8cCA/edit?usp=sharing"",""หนองบัวลำภู!I386"")"),0)</f>
        <v>0</v>
      </c>
      <c r="J491" s="189">
        <f ca="1">IFERROR(__xludf.DUMMYFUNCTION("IMPORTRANGE(""https://docs.google.com/spreadsheets/d/1XL5vhW3sbDhbH9Cz0tuDiY8C3ctxq1tqvaCgkFb8cCA/edit?usp=sharing"",""หนองบัวลำภู!J386"")"),6.05)</f>
        <v>6.05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IFERROR(__xludf.DUMMYFUNCTION("IMPORTRANGE(""https://docs.google.com/spreadsheets/d/1XL5vhW3sbDhbH9Cz0tuDiY8C3ctxq1tqvaCgkFb8cCA/edit?usp=sharing"",""หนองบัวลำภู!I387"")"),0)</f>
        <v>0</v>
      </c>
      <c r="J492" s="189">
        <f ca="1">IFERROR(__xludf.DUMMYFUNCTION("IMPORTRANGE(""https://docs.google.com/spreadsheets/d/1XL5vhW3sbDhbH9Cz0tuDiY8C3ctxq1tqvaCgkFb8cCA/edit?usp=sharing"",""หนองบัวลำภู!J387"")"),2)</f>
        <v>2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IFERROR(__xludf.DUMMYFUNCTION("IMPORTRANGE(""https://docs.google.com/spreadsheets/d/1XL5vhW3sbDhbH9Cz0tuDiY8C3ctxq1tqvaCgkFb8cCA/edit?usp=sharing"",""หนองบัวลำภู!I388"")"),0)</f>
        <v>0</v>
      </c>
      <c r="J493" s="189">
        <f ca="1">IFERROR(__xludf.DUMMYFUNCTION("IMPORTRANGE(""https://docs.google.com/spreadsheets/d/1XL5vhW3sbDhbH9Cz0tuDiY8C3ctxq1tqvaCgkFb8cCA/edit?usp=sharing"",""หนองบัวลำภู!J388"")"),0)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IFERROR(__xludf.DUMMYFUNCTION("IMPORTRANGE(""https://docs.google.com/spreadsheets/d/1XL5vhW3sbDhbH9Cz0tuDiY8C3ctxq1tqvaCgkFb8cCA/edit?usp=sharing"",""หนองบัวลำภู!I389"")"),0)</f>
        <v>0</v>
      </c>
      <c r="J494" s="436">
        <f ca="1">IFERROR(__xludf.DUMMYFUNCTION("IMPORTRANGE(""https://docs.google.com/spreadsheets/d/1XL5vhW3sbDhbH9Cz0tuDiY8C3ctxq1tqvaCgkFb8cCA/edit?usp=sharing"",""หนองบัวลำภู!J389"")"),0)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IFERROR(__xludf.DUMMYFUNCTION("IMPORTRANGE(""https://docs.google.com/spreadsheets/d/1XL5vhW3sbDhbH9Cz0tuDiY8C3ctxq1tqvaCgkFb8cCA/edit?usp=sharing"",""หนองบัวลำภู!I390"")"),0)</f>
        <v>0</v>
      </c>
      <c r="J495" s="436">
        <f ca="1">IFERROR(__xludf.DUMMYFUNCTION("IMPORTRANGE(""https://docs.google.com/spreadsheets/d/1XL5vhW3sbDhbH9Cz0tuDiY8C3ctxq1tqvaCgkFb8cCA/edit?usp=sharing"",""หนองบัวลำภู!J390"")"),0)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IFERROR(__xludf.DUMMYFUNCTION("IMPORTRANGE(""https://docs.google.com/spreadsheets/d/1XL5vhW3sbDhbH9Cz0tuDiY8C3ctxq1tqvaCgkFb8cCA/edit?usp=sharing"",""หนองบัวลำภู!I391"")"),0)</f>
        <v>0</v>
      </c>
      <c r="J496" s="436">
        <f ca="1">IFERROR(__xludf.DUMMYFUNCTION("IMPORTRANGE(""https://docs.google.com/spreadsheets/d/1XL5vhW3sbDhbH9Cz0tuDiY8C3ctxq1tqvaCgkFb8cCA/edit?usp=sharing"",""หนองบัวลำภู!J391"")"),0)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IFERROR(__xludf.DUMMYFUNCTION("IMPORTRANGE(""https://docs.google.com/spreadsheets/d/1XL5vhW3sbDhbH9Cz0tuDiY8C3ctxq1tqvaCgkFb8cCA/edit?usp=sharing"",""หนองบัวลำภู!I392"")"),10125)</f>
        <v>10125</v>
      </c>
      <c r="J497" s="443">
        <f ca="1">IFERROR(__xludf.DUMMYFUNCTION("IMPORTRANGE(""https://docs.google.com/spreadsheets/d/1XL5vhW3sbDhbH9Cz0tuDiY8C3ctxq1tqvaCgkFb8cCA/edit?usp=sharing"",""หนองบัวลำภู!J392"")"),10125.9375)</f>
        <v>10125.9375</v>
      </c>
      <c r="K497" s="444">
        <f t="shared" ca="1" si="117"/>
        <v>100.00925925925925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IFERROR(__xludf.DUMMYFUNCTION("IMPORTRANGE(""https://docs.google.com/spreadsheets/d/1XL5vhW3sbDhbH9Cz0tuDiY8C3ctxq1tqvaCgkFb8cCA/edit?usp=sharing"",""หนองบัวลำภู!I393"")"),10125)</f>
        <v>10125</v>
      </c>
      <c r="J498" s="420">
        <f ca="1">IFERROR(__xludf.DUMMYFUNCTION("IMPORTRANGE(""https://docs.google.com/spreadsheets/d/1XL5vhW3sbDhbH9Cz0tuDiY8C3ctxq1tqvaCgkFb8cCA/edit?usp=sharing"",""หนองบัวลำภู!J393"")"),10125.9375)</f>
        <v>10125.9375</v>
      </c>
      <c r="K498" s="202">
        <f t="shared" ca="1" si="117"/>
        <v>100.00925925925925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IFERROR(__xludf.DUMMYFUNCTION("IMPORTRANGE(""https://docs.google.com/spreadsheets/d/1XL5vhW3sbDhbH9Cz0tuDiY8C3ctxq1tqvaCgkFb8cCA/edit?usp=sharing"",""หนองบัวลำภู!I394"")"),1062)</f>
        <v>1062</v>
      </c>
      <c r="J499" s="420">
        <f ca="1">IFERROR(__xludf.DUMMYFUNCTION("IMPORTRANGE(""https://docs.google.com/spreadsheets/d/1XL5vhW3sbDhbH9Cz0tuDiY8C3ctxq1tqvaCgkFb8cCA/edit?usp=sharing"",""หนองบัวลำภู!J394"")"),1062)</f>
        <v>1062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IFERROR(__xludf.DUMMYFUNCTION("IMPORTRANGE(""https://docs.google.com/spreadsheets/d/1XL5vhW3sbDhbH9Cz0tuDiY8C3ctxq1tqvaCgkFb8cCA/edit?usp=sharing"",""หนองบัวลำภู!I395"")"),0)</f>
        <v>0</v>
      </c>
      <c r="J500" s="162">
        <f ca="1">IFERROR(__xludf.DUMMYFUNCTION("IMPORTRANGE(""https://docs.google.com/spreadsheets/d/1XL5vhW3sbDhbH9Cz0tuDiY8C3ctxq1tqvaCgkFb8cCA/edit?usp=sharing"",""หนองบัวลำภู!J395"")"),8193.11)</f>
        <v>8193.11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IFERROR(__xludf.DUMMYFUNCTION("IMPORTRANGE(""https://docs.google.com/spreadsheets/d/1XL5vhW3sbDhbH9Cz0tuDiY8C3ctxq1tqvaCgkFb8cCA/edit?usp=sharing"",""หนองบัวลำภู!I396"")"),0)</f>
        <v>0</v>
      </c>
      <c r="J501" s="162">
        <f ca="1">IFERROR(__xludf.DUMMYFUNCTION("IMPORTRANGE(""https://docs.google.com/spreadsheets/d/1XL5vhW3sbDhbH9Cz0tuDiY8C3ctxq1tqvaCgkFb8cCA/edit?usp=sharing"",""หนองบัวลำภู!J396"")"),850)</f>
        <v>850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IFERROR(__xludf.DUMMYFUNCTION("IMPORTRANGE(""https://docs.google.com/spreadsheets/d/1XL5vhW3sbDhbH9Cz0tuDiY8C3ctxq1tqvaCgkFb8cCA/edit?usp=sharing"",""หนองบัวลำภู!I397"")"),0)</f>
        <v>0</v>
      </c>
      <c r="J502" s="189">
        <f ca="1">IFERROR(__xludf.DUMMYFUNCTION("IMPORTRANGE(""https://docs.google.com/spreadsheets/d/1XL5vhW3sbDhbH9Cz0tuDiY8C3ctxq1tqvaCgkFb8cCA/edit?usp=sharing"",""หนองบัวลำภู!J397"")"),552.48)</f>
        <v>552.48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IFERROR(__xludf.DUMMYFUNCTION("IMPORTRANGE(""https://docs.google.com/spreadsheets/d/1XL5vhW3sbDhbH9Cz0tuDiY8C3ctxq1tqvaCgkFb8cCA/edit?usp=sharing"",""หนองบัวลำภู!I398"")"),0)</f>
        <v>0</v>
      </c>
      <c r="J503" s="198">
        <f ca="1">IFERROR(__xludf.DUMMYFUNCTION("IMPORTRANGE(""https://docs.google.com/spreadsheets/d/1XL5vhW3sbDhbH9Cz0tuDiY8C3ctxq1tqvaCgkFb8cCA/edit?usp=sharing"",""หนองบัวลำภู!J398"")"),154)</f>
        <v>154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IFERROR(__xludf.DUMMYFUNCTION("IMPORTRANGE(""https://docs.google.com/spreadsheets/d/1XL5vhW3sbDhbH9Cz0tuDiY8C3ctxq1tqvaCgkFb8cCA/edit?usp=sharing"",""หนองบัวลำภู!I399"")"),0)</f>
        <v>0</v>
      </c>
      <c r="J504" s="189">
        <f ca="1">IFERROR(__xludf.DUMMYFUNCTION("IMPORTRANGE(""https://docs.google.com/spreadsheets/d/1XL5vhW3sbDhbH9Cz0tuDiY8C3ctxq1tqvaCgkFb8cCA/edit?usp=sharing"",""หนองบัวลำภู!J399"")"),7640.63)</f>
        <v>7640.63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IFERROR(__xludf.DUMMYFUNCTION("IMPORTRANGE(""https://docs.google.com/spreadsheets/d/1XL5vhW3sbDhbH9Cz0tuDiY8C3ctxq1tqvaCgkFb8cCA/edit?usp=sharing"",""หนองบัวลำภู!I400"")"),0)</f>
        <v>0</v>
      </c>
      <c r="J505" s="198">
        <f ca="1">IFERROR(__xludf.DUMMYFUNCTION("IMPORTRANGE(""https://docs.google.com/spreadsheets/d/1XL5vhW3sbDhbH9Cz0tuDiY8C3ctxq1tqvaCgkFb8cCA/edit?usp=sharing"",""หนองบัวลำภู!J400"")"),696)</f>
        <v>696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IFERROR(__xludf.DUMMYFUNCTION("IMPORTRANGE(""https://docs.google.com/spreadsheets/d/1XL5vhW3sbDhbH9Cz0tuDiY8C3ctxq1tqvaCgkFb8cCA/edit?usp=sharing"",""หนองบัวลำภู!I401"")"),0)</f>
        <v>0</v>
      </c>
      <c r="J506" s="189">
        <f ca="1">IFERROR(__xludf.DUMMYFUNCTION("IMPORTRANGE(""https://docs.google.com/spreadsheets/d/1XL5vhW3sbDhbH9Cz0tuDiY8C3ctxq1tqvaCgkFb8cCA/edit?usp=sharing"",""หนองบัวลำภู!J401"")"),0)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IFERROR(__xludf.DUMMYFUNCTION("IMPORTRANGE(""https://docs.google.com/spreadsheets/d/1XL5vhW3sbDhbH9Cz0tuDiY8C3ctxq1tqvaCgkFb8cCA/edit?usp=sharing"",""หนองบัวลำภู!I402"")"),0)</f>
        <v>0</v>
      </c>
      <c r="J507" s="198">
        <f ca="1">IFERROR(__xludf.DUMMYFUNCTION("IMPORTRANGE(""https://docs.google.com/spreadsheets/d/1XL5vhW3sbDhbH9Cz0tuDiY8C3ctxq1tqvaCgkFb8cCA/edit?usp=sharing"",""หนองบัวลำภู!J402"")"),0)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IFERROR(__xludf.DUMMYFUNCTION("IMPORTRANGE(""https://docs.google.com/spreadsheets/d/1XL5vhW3sbDhbH9Cz0tuDiY8C3ctxq1tqvaCgkFb8cCA/edit?usp=sharing"",""หนองบัวลำภู!I403"")"),0)</f>
        <v>0</v>
      </c>
      <c r="J508" s="162">
        <f ca="1">IFERROR(__xludf.DUMMYFUNCTION("IMPORTRANGE(""https://docs.google.com/spreadsheets/d/1XL5vhW3sbDhbH9Cz0tuDiY8C3ctxq1tqvaCgkFb8cCA/edit?usp=sharing"",""หนองบัวลำภู!J403"")"),1876.7575)</f>
        <v>1876.7574999999999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IFERROR(__xludf.DUMMYFUNCTION("IMPORTRANGE(""https://docs.google.com/spreadsheets/d/1XL5vhW3sbDhbH9Cz0tuDiY8C3ctxq1tqvaCgkFb8cCA/edit?usp=sharing"",""หนองบัวลำภู!I404"")"),0)</f>
        <v>0</v>
      </c>
      <c r="J509" s="162">
        <f ca="1">IFERROR(__xludf.DUMMYFUNCTION("IMPORTRANGE(""https://docs.google.com/spreadsheets/d/1XL5vhW3sbDhbH9Cz0tuDiY8C3ctxq1tqvaCgkFb8cCA/edit?usp=sharing"",""หนองบัวลำภู!J404"")"),209)</f>
        <v>209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IFERROR(__xludf.DUMMYFUNCTION("IMPORTRANGE(""https://docs.google.com/spreadsheets/d/1XL5vhW3sbDhbH9Cz0tuDiY8C3ctxq1tqvaCgkFb8cCA/edit?usp=sharing"",""หนองบัวลำภู!I405"")"),0)</f>
        <v>0</v>
      </c>
      <c r="J510" s="198">
        <f ca="1">IFERROR(__xludf.DUMMYFUNCTION("IMPORTRANGE(""https://docs.google.com/spreadsheets/d/1XL5vhW3sbDhbH9Cz0tuDiY8C3ctxq1tqvaCgkFb8cCA/edit?usp=sharing"",""หนองบัวลำภู!J405"")"),1631.345)</f>
        <v>1631.345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IFERROR(__xludf.DUMMYFUNCTION("IMPORTRANGE(""https://docs.google.com/spreadsheets/d/1XL5vhW3sbDhbH9Cz0tuDiY8C3ctxq1tqvaCgkFb8cCA/edit?usp=sharing"",""หนองบัวลำภู!I406"")"),0)</f>
        <v>0</v>
      </c>
      <c r="J511" s="198">
        <f ca="1">IFERROR(__xludf.DUMMYFUNCTION("IMPORTRANGE(""https://docs.google.com/spreadsheets/d/1XL5vhW3sbDhbH9Cz0tuDiY8C3ctxq1tqvaCgkFb8cCA/edit?usp=sharing"",""หนองบัวลำภู!J406"")"),184)</f>
        <v>184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IFERROR(__xludf.DUMMYFUNCTION("IMPORTRANGE(""https://docs.google.com/spreadsheets/d/1XL5vhW3sbDhbH9Cz0tuDiY8C3ctxq1tqvaCgkFb8cCA/edit?usp=sharing"",""หนองบัวลำภู!I407"")"),0)</f>
        <v>0</v>
      </c>
      <c r="J512" s="198">
        <f ca="1">IFERROR(__xludf.DUMMYFUNCTION("IMPORTRANGE(""https://docs.google.com/spreadsheets/d/1XL5vhW3sbDhbH9Cz0tuDiY8C3ctxq1tqvaCgkFb8cCA/edit?usp=sharing"",""หนองบัวลำภู!J407"")"),245.4125)</f>
        <v>245.41249999999999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IFERROR(__xludf.DUMMYFUNCTION("IMPORTRANGE(""https://docs.google.com/spreadsheets/d/1XL5vhW3sbDhbH9Cz0tuDiY8C3ctxq1tqvaCgkFb8cCA/edit?usp=sharing"",""หนองบัวลำภู!I408"")"),0)</f>
        <v>0</v>
      </c>
      <c r="J513" s="198">
        <f ca="1">IFERROR(__xludf.DUMMYFUNCTION("IMPORTRANGE(""https://docs.google.com/spreadsheets/d/1XL5vhW3sbDhbH9Cz0tuDiY8C3ctxq1tqvaCgkFb8cCA/edit?usp=sharing"",""หนองบัวลำภู!J408"")"),25)</f>
        <v>25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IFERROR(__xludf.DUMMYFUNCTION("IMPORTRANGE(""https://docs.google.com/spreadsheets/d/1XL5vhW3sbDhbH9Cz0tuDiY8C3ctxq1tqvaCgkFb8cCA/edit?usp=sharing"",""หนองบัวลำภู!I409"")"),0)</f>
        <v>0</v>
      </c>
      <c r="J514" s="198">
        <f ca="1">IFERROR(__xludf.DUMMYFUNCTION("IMPORTRANGE(""https://docs.google.com/spreadsheets/d/1XL5vhW3sbDhbH9Cz0tuDiY8C3ctxq1tqvaCgkFb8cCA/edit?usp=sharing"",""หนองบัวลำภู!J409"")"),56.07)</f>
        <v>56.07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IFERROR(__xludf.DUMMYFUNCTION("IMPORTRANGE(""https://docs.google.com/spreadsheets/d/1XL5vhW3sbDhbH9Cz0tuDiY8C3ctxq1tqvaCgkFb8cCA/edit?usp=sharing"",""หนองบัวลำภู!I410"")"),0)</f>
        <v>0</v>
      </c>
      <c r="J515" s="198">
        <f ca="1">IFERROR(__xludf.DUMMYFUNCTION("IMPORTRANGE(""https://docs.google.com/spreadsheets/d/1XL5vhW3sbDhbH9Cz0tuDiY8C3ctxq1tqvaCgkFb8cCA/edit?usp=sharing"",""หนองบัวลำภู!J410"")"),3)</f>
        <v>3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IFERROR(__xludf.DUMMYFUNCTION("IMPORTRANGE(""https://docs.google.com/spreadsheets/d/1XL5vhW3sbDhbH9Cz0tuDiY8C3ctxq1tqvaCgkFb8cCA/edit?usp=sharing"",""หนองบัวลำภู!I411"")"),0)</f>
        <v>0</v>
      </c>
      <c r="J516" s="267">
        <f ca="1">IFERROR(__xludf.DUMMYFUNCTION("IMPORTRANGE(""https://docs.google.com/spreadsheets/d/1XL5vhW3sbDhbH9Cz0tuDiY8C3ctxq1tqvaCgkFb8cCA/edit?usp=sharing"",""หนองบัวลำภู!J411"")"),0)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IFERROR(__xludf.DUMMYFUNCTION("IMPORTRANGE(""https://docs.google.com/spreadsheets/d/1XL5vhW3sbDhbH9Cz0tuDiY8C3ctxq1tqvaCgkFb8cCA/edit?usp=sharing"",""หนองบัวลำภู!I412"")"),0)</f>
        <v>0</v>
      </c>
      <c r="J517" s="284">
        <f ca="1">IFERROR(__xludf.DUMMYFUNCTION("IMPORTRANGE(""https://docs.google.com/spreadsheets/d/1XL5vhW3sbDhbH9Cz0tuDiY8C3ctxq1tqvaCgkFb8cCA/edit?usp=sharing"",""หนองบัวลำภู!J412"")"),0)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IFERROR(__xludf.DUMMYFUNCTION("IMPORTRANGE(""https://docs.google.com/spreadsheets/d/1XL5vhW3sbDhbH9Cz0tuDiY8C3ctxq1tqvaCgkFb8cCA/edit?usp=sharing"",""หนองบัวลำภู!I413"")"),0)</f>
        <v>0</v>
      </c>
      <c r="J518" s="284">
        <f ca="1">IFERROR(__xludf.DUMMYFUNCTION("IMPORTRANGE(""https://docs.google.com/spreadsheets/d/1XL5vhW3sbDhbH9Cz0tuDiY8C3ctxq1tqvaCgkFb8cCA/edit?usp=sharing"",""หนองบัวลำภู!J413"")"),0)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IFERROR(__xludf.DUMMYFUNCTION("IMPORTRANGE(""https://docs.google.com/spreadsheets/d/1XL5vhW3sbDhbH9Cz0tuDiY8C3ctxq1tqvaCgkFb8cCA/edit?usp=sharing"",""หนองบัวลำภู!I414"")"),0)</f>
        <v>0</v>
      </c>
      <c r="J519" s="188">
        <f ca="1">IFERROR(__xludf.DUMMYFUNCTION("IMPORTRANGE(""https://docs.google.com/spreadsheets/d/1XL5vhW3sbDhbH9Cz0tuDiY8C3ctxq1tqvaCgkFb8cCA/edit?usp=sharing"",""หนองบัวลำภู!J414"")"),0)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IFERROR(__xludf.DUMMYFUNCTION("IMPORTRANGE(""https://docs.google.com/spreadsheets/d/1XL5vhW3sbDhbH9Cz0tuDiY8C3ctxq1tqvaCgkFb8cCA/edit?usp=sharing"",""หนองบัวลำภู!I415"")"),0)</f>
        <v>0</v>
      </c>
      <c r="J520" s="188">
        <f ca="1">IFERROR(__xludf.DUMMYFUNCTION("IMPORTRANGE(""https://docs.google.com/spreadsheets/d/1XL5vhW3sbDhbH9Cz0tuDiY8C3ctxq1tqvaCgkFb8cCA/edit?usp=sharing"",""หนองบัวลำภู!J415"")"),0)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IFERROR(__xludf.DUMMYFUNCTION("IMPORTRANGE(""https://docs.google.com/spreadsheets/d/1XL5vhW3sbDhbH9Cz0tuDiY8C3ctxq1tqvaCgkFb8cCA/edit?usp=sharing"",""หนองบัวลำภู!I416"")"),0)</f>
        <v>0</v>
      </c>
      <c r="J521" s="188">
        <f ca="1">IFERROR(__xludf.DUMMYFUNCTION("IMPORTRANGE(""https://docs.google.com/spreadsheets/d/1XL5vhW3sbDhbH9Cz0tuDiY8C3ctxq1tqvaCgkFb8cCA/edit?usp=sharing"",""หนองบัวลำภู!J416"")"),0)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IFERROR(__xludf.DUMMYFUNCTION("IMPORTRANGE(""https://docs.google.com/spreadsheets/d/1XL5vhW3sbDhbH9Cz0tuDiY8C3ctxq1tqvaCgkFb8cCA/edit?usp=sharing"",""หนองบัวลำภู!I417"")"),0)</f>
        <v>0</v>
      </c>
      <c r="J522" s="188">
        <f ca="1">IFERROR(__xludf.DUMMYFUNCTION("IMPORTRANGE(""https://docs.google.com/spreadsheets/d/1XL5vhW3sbDhbH9Cz0tuDiY8C3ctxq1tqvaCgkFb8cCA/edit?usp=sharing"",""หนองบัวลำภู!J417"")"),0)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IFERROR(__xludf.DUMMYFUNCTION("IMPORTRANGE(""https://docs.google.com/spreadsheets/d/1XL5vhW3sbDhbH9Cz0tuDiY8C3ctxq1tqvaCgkFb8cCA/edit?usp=sharing"",""หนองบัวลำภู!I418"")"),0)</f>
        <v>0</v>
      </c>
      <c r="J523" s="188">
        <f ca="1">IFERROR(__xludf.DUMMYFUNCTION("IMPORTRANGE(""https://docs.google.com/spreadsheets/d/1XL5vhW3sbDhbH9Cz0tuDiY8C3ctxq1tqvaCgkFb8cCA/edit?usp=sharing"",""หนองบัวลำภู!J418"")"),0)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IFERROR(__xludf.DUMMYFUNCTION("IMPORTRANGE(""https://docs.google.com/spreadsheets/d/1XL5vhW3sbDhbH9Cz0tuDiY8C3ctxq1tqvaCgkFb8cCA/edit?usp=sharing"",""หนองบัวลำภู!I419"")"),0)</f>
        <v>0</v>
      </c>
      <c r="J524" s="188">
        <f ca="1">IFERROR(__xludf.DUMMYFUNCTION("IMPORTRANGE(""https://docs.google.com/spreadsheets/d/1XL5vhW3sbDhbH9Cz0tuDiY8C3ctxq1tqvaCgkFb8cCA/edit?usp=sharing"",""หนองบัวลำภู!J419"")"),0)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IFERROR(__xludf.DUMMYFUNCTION("IMPORTRANGE(""https://docs.google.com/spreadsheets/d/1XL5vhW3sbDhbH9Cz0tuDiY8C3ctxq1tqvaCgkFb8cCA/edit?usp=sharing"",""หนองบัวลำภู!I420"")"),0)</f>
        <v>0</v>
      </c>
      <c r="J525" s="284">
        <f ca="1">IFERROR(__xludf.DUMMYFUNCTION("IMPORTRANGE(""https://docs.google.com/spreadsheets/d/1XL5vhW3sbDhbH9Cz0tuDiY8C3ctxq1tqvaCgkFb8cCA/edit?usp=sharing"",""หนองบัวลำภู!J420"")"),0)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IFERROR(__xludf.DUMMYFUNCTION("IMPORTRANGE(""https://docs.google.com/spreadsheets/d/1XL5vhW3sbDhbH9Cz0tuDiY8C3ctxq1tqvaCgkFb8cCA/edit?usp=sharing"",""หนองบัวลำภู!I421"")"),0)</f>
        <v>0</v>
      </c>
      <c r="J526" s="284">
        <f ca="1">IFERROR(__xludf.DUMMYFUNCTION("IMPORTRANGE(""https://docs.google.com/spreadsheets/d/1XL5vhW3sbDhbH9Cz0tuDiY8C3ctxq1tqvaCgkFb8cCA/edit?usp=sharing"",""หนองบัวลำภู!J421"")"),0)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IFERROR(__xludf.DUMMYFUNCTION("IMPORTRANGE(""https://docs.google.com/spreadsheets/d/1XL5vhW3sbDhbH9Cz0tuDiY8C3ctxq1tqvaCgkFb8cCA/edit?usp=sharing"",""หนองบัวลำภู!I422"")"),0)</f>
        <v>0</v>
      </c>
      <c r="J527" s="198">
        <f ca="1">IFERROR(__xludf.DUMMYFUNCTION("IMPORTRANGE(""https://docs.google.com/spreadsheets/d/1XL5vhW3sbDhbH9Cz0tuDiY8C3ctxq1tqvaCgkFb8cCA/edit?usp=sharing"",""หนองบัวลำภู!J422"")"),0)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IFERROR(__xludf.DUMMYFUNCTION("IMPORTRANGE(""https://docs.google.com/spreadsheets/d/1XL5vhW3sbDhbH9Cz0tuDiY8C3ctxq1tqvaCgkFb8cCA/edit?usp=sharing"",""หนองบัวลำภู!I423"")"),0)</f>
        <v>0</v>
      </c>
      <c r="J528" s="198">
        <f ca="1">IFERROR(__xludf.DUMMYFUNCTION("IMPORTRANGE(""https://docs.google.com/spreadsheets/d/1XL5vhW3sbDhbH9Cz0tuDiY8C3ctxq1tqvaCgkFb8cCA/edit?usp=sharing"",""หนองบัวลำภู!J423"")"),0)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IFERROR(__xludf.DUMMYFUNCTION("IMPORTRANGE(""https://docs.google.com/spreadsheets/d/1XL5vhW3sbDhbH9Cz0tuDiY8C3ctxq1tqvaCgkFb8cCA/edit?usp=sharing"",""หนองบัวลำภู!I424"")"),0)</f>
        <v>0</v>
      </c>
      <c r="J529" s="198">
        <f ca="1">IFERROR(__xludf.DUMMYFUNCTION("IMPORTRANGE(""https://docs.google.com/spreadsheets/d/1XL5vhW3sbDhbH9Cz0tuDiY8C3ctxq1tqvaCgkFb8cCA/edit?usp=sharing"",""หนองบัวลำภู!J424"")"),0)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IFERROR(__xludf.DUMMYFUNCTION("IMPORTRANGE(""https://docs.google.com/spreadsheets/d/1XL5vhW3sbDhbH9Cz0tuDiY8C3ctxq1tqvaCgkFb8cCA/edit?usp=sharing"",""หนองบัวลำภู!I425"")"),0)</f>
        <v>0</v>
      </c>
      <c r="J530" s="198">
        <f ca="1">IFERROR(__xludf.DUMMYFUNCTION("IMPORTRANGE(""https://docs.google.com/spreadsheets/d/1XL5vhW3sbDhbH9Cz0tuDiY8C3ctxq1tqvaCgkFb8cCA/edit?usp=sharing"",""หนองบัวลำภู!J425"")"),0)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IFERROR(__xludf.DUMMYFUNCTION("IMPORTRANGE(""https://docs.google.com/spreadsheets/d/1XL5vhW3sbDhbH9Cz0tuDiY8C3ctxq1tqvaCgkFb8cCA/edit?usp=sharing"",""หนองบัวลำภู!I426"")"),0)</f>
        <v>0</v>
      </c>
      <c r="J531" s="198">
        <f ca="1">IFERROR(__xludf.DUMMYFUNCTION("IMPORTRANGE(""https://docs.google.com/spreadsheets/d/1XL5vhW3sbDhbH9Cz0tuDiY8C3ctxq1tqvaCgkFb8cCA/edit?usp=sharing"",""หนองบัวลำภู!J426"")"),0)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IFERROR(__xludf.DUMMYFUNCTION("IMPORTRANGE(""https://docs.google.com/spreadsheets/d/1XL5vhW3sbDhbH9Cz0tuDiY8C3ctxq1tqvaCgkFb8cCA/edit?usp=sharing"",""หนองบัวลำภู!I427"")"),0)</f>
        <v>0</v>
      </c>
      <c r="J532" s="466">
        <f ca="1">IFERROR(__xludf.DUMMYFUNCTION("IMPORTRANGE(""https://docs.google.com/spreadsheets/d/1XL5vhW3sbDhbH9Cz0tuDiY8C3ctxq1tqvaCgkFb8cCA/edit?usp=sharing"",""หนองบัวลำภู!J427"")"),0)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IFERROR(__xludf.DUMMYFUNCTION("IMPORTRANGE(""https://docs.google.com/spreadsheets/d/1XL5vhW3sbDhbH9Cz0tuDiY8C3ctxq1tqvaCgkFb8cCA/edit?usp=sharing"",""หนองบัวลำภู!I428"")"),22)</f>
        <v>22</v>
      </c>
      <c r="J533" s="410">
        <f ca="1">IFERROR(__xludf.DUMMYFUNCTION("IMPORTRANGE(""https://docs.google.com/spreadsheets/d/1XL5vhW3sbDhbH9Cz0tuDiY8C3ctxq1tqvaCgkFb8cCA/edit?usp=sharing"",""หนองบัวลำภู!J428"")"),22)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IFERROR(__xludf.DUMMYFUNCTION("IMPORTRANGE(""https://docs.google.com/spreadsheets/d/1XL5vhW3sbDhbH9Cz0tuDiY8C3ctxq1tqvaCgkFb8cCA/edit?usp=sharing"",""หนองบัวลำภู!L428"")"),34340)</f>
        <v>34340</v>
      </c>
      <c r="M533" s="412"/>
      <c r="N533" s="412">
        <f ca="1">IFERROR(__xludf.DUMMYFUNCTION("IMPORTRANGE(""https://docs.google.com/spreadsheets/d/1XL5vhW3sbDhbH9Cz0tuDiY8C3ctxq1tqvaCgkFb8cCA/edit?usp=sharing"",""หนองบัวลำภู!M428"")"),30044)</f>
        <v>30044</v>
      </c>
      <c r="O533" s="412">
        <f t="shared" ref="O533:O537" ca="1" si="118">+IF(L533&gt;0,N533*100/L533,0)</f>
        <v>87.489807804309848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IFERROR(__xludf.DUMMYFUNCTION("IMPORTRANGE(""https://docs.google.com/spreadsheets/d/1XL5vhW3sbDhbH9Cz0tuDiY8C3ctxq1tqvaCgkFb8cCA/edit?usp=sharing"",""หนองบัวลำภู!L429"")"),0)</f>
        <v>0</v>
      </c>
      <c r="M534" s="164"/>
      <c r="N534" s="169">
        <f ca="1">IFERROR(__xludf.DUMMYFUNCTION("IMPORTRANGE(""https://docs.google.com/spreadsheets/d/1XL5vhW3sbDhbH9Cz0tuDiY8C3ctxq1tqvaCgkFb8cCA/edit?usp=sharing"",""หนองบัวลำภู!M429"")"),0)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IFERROR(__xludf.DUMMYFUNCTION("IMPORTRANGE(""https://docs.google.com/spreadsheets/d/1XL5vhW3sbDhbH9Cz0tuDiY8C3ctxq1tqvaCgkFb8cCA/edit?usp=sharing"",""หนองบัวลำภู!L430"")"),34340)</f>
        <v>34340</v>
      </c>
      <c r="M535" s="165"/>
      <c r="N535" s="169">
        <f ca="1">IFERROR(__xludf.DUMMYFUNCTION("IMPORTRANGE(""https://docs.google.com/spreadsheets/d/1XL5vhW3sbDhbH9Cz0tuDiY8C3ctxq1tqvaCgkFb8cCA/edit?usp=sharing"",""หนองบัวลำภู!M430"")"),30044)</f>
        <v>30044</v>
      </c>
      <c r="O535" s="169">
        <f t="shared" ca="1" si="118"/>
        <v>87.489807804309848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IFERROR(__xludf.DUMMYFUNCTION("IMPORTRANGE(""https://docs.google.com/spreadsheets/d/1XL5vhW3sbDhbH9Cz0tuDiY8C3ctxq1tqvaCgkFb8cCA/edit?usp=sharing"",""หนองบัวลำภู!L431"")"),0)</f>
        <v>0</v>
      </c>
      <c r="M536" s="169"/>
      <c r="N536" s="169">
        <f ca="1">IFERROR(__xludf.DUMMYFUNCTION("IMPORTRANGE(""https://docs.google.com/spreadsheets/d/1XL5vhW3sbDhbH9Cz0tuDiY8C3ctxq1tqvaCgkFb8cCA/edit?usp=sharing"",""หนองบัวลำภู!M431"")"),0)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IFERROR(__xludf.DUMMYFUNCTION("IMPORTRANGE(""https://docs.google.com/spreadsheets/d/1XL5vhW3sbDhbH9Cz0tuDiY8C3ctxq1tqvaCgkFb8cCA/edit?usp=sharing"",""หนองบัวลำภู!L432"")"),34340)</f>
        <v>34340</v>
      </c>
      <c r="M537" s="169"/>
      <c r="N537" s="169">
        <f ca="1">IFERROR(__xludf.DUMMYFUNCTION("IMPORTRANGE(""https://docs.google.com/spreadsheets/d/1XL5vhW3sbDhbH9Cz0tuDiY8C3ctxq1tqvaCgkFb8cCA/edit?usp=sharing"",""หนองบัวลำภู!M432"")"),30044)</f>
        <v>30044</v>
      </c>
      <c r="O537" s="169">
        <f t="shared" ca="1" si="118"/>
        <v>87.489807804309848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IFERROR(__xludf.DUMMYFUNCTION("IMPORTRANGE(""https://docs.google.com/spreadsheets/d/1XL5vhW3sbDhbH9Cz0tuDiY8C3ctxq1tqvaCgkFb8cCA/edit?usp=sharing"",""หนองบัวลำภู!M433"")"),17632)</f>
        <v>17632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IFERROR(__xludf.DUMMYFUNCTION("IMPORTRANGE(""https://docs.google.com/spreadsheets/d/1XL5vhW3sbDhbH9Cz0tuDiY8C3ctxq1tqvaCgkFb8cCA/edit?usp=sharing"",""หนองบัวลำภู!M434"")"),12412)</f>
        <v>12412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IFERROR(__xludf.DUMMYFUNCTION("IMPORTRANGE(""https://docs.google.com/spreadsheets/d/1XL5vhW3sbDhbH9Cz0tuDiY8C3ctxq1tqvaCgkFb8cCA/edit?usp=sharing"",""หนองบัวลำภู!M435"")"),0)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IFERROR(__xludf.DUMMYFUNCTION("IMPORTRANGE(""https://docs.google.com/spreadsheets/d/1XL5vhW3sbDhbH9Cz0tuDiY8C3ctxq1tqvaCgkFb8cCA/edit?usp=sharing"",""หนองบัวลำภู!M436"")"),0)</f>
        <v>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IFERROR(__xludf.DUMMYFUNCTION("IMPORTRANGE(""https://docs.google.com/spreadsheets/d/1XL5vhW3sbDhbH9Cz0tuDiY8C3ctxq1tqvaCgkFb8cCA/edit?usp=sharing"",""หนองบัวลำภู!J438"")"),0)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IFERROR(__xludf.DUMMYFUNCTION("IMPORTRANGE(""https://docs.google.com/spreadsheets/d/1XL5vhW3sbDhbH9Cz0tuDiY8C3ctxq1tqvaCgkFb8cCA/edit?usp=sharing"",""หนองบัวลำภู!J439"")"),1)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IFERROR(__xludf.DUMMYFUNCTION("IMPORTRANGE(""https://docs.google.com/spreadsheets/d/1XL5vhW3sbDhbH9Cz0tuDiY8C3ctxq1tqvaCgkFb8cCA/edit?usp=sharing"",""หนองบัวลำภู!J440"")"),1)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IFERROR(__xludf.DUMMYFUNCTION("IMPORTRANGE(""https://docs.google.com/spreadsheets/d/1XL5vhW3sbDhbH9Cz0tuDiY8C3ctxq1tqvaCgkFb8cCA/edit?usp=sharing"",""หนองบัวลำภู!J441"")"),1)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IFERROR(__xludf.DUMMYFUNCTION("IMPORTRANGE(""https://docs.google.com/spreadsheets/d/1XL5vhW3sbDhbH9Cz0tuDiY8C3ctxq1tqvaCgkFb8cCA/edit?usp=sharing"",""หนองบัวลำภู!I442"")"),22)</f>
        <v>22</v>
      </c>
      <c r="J547" s="189">
        <f ca="1">IFERROR(__xludf.DUMMYFUNCTION("IMPORTRANGE(""https://docs.google.com/spreadsheets/d/1XL5vhW3sbDhbH9Cz0tuDiY8C3ctxq1tqvaCgkFb8cCA/edit?usp=sharing"",""หนองบัวลำภู!J442"")"),22)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IFERROR(__xludf.DUMMYFUNCTION("IMPORTRANGE(""https://docs.google.com/spreadsheets/d/1XL5vhW3sbDhbH9Cz0tuDiY8C3ctxq1tqvaCgkFb8cCA/edit?usp=sharing"",""หนองบัวลำภู!J166"")"),0)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IFERROR(__xludf.DUMMYFUNCTION("IMPORTRANGE(""https://docs.google.com/spreadsheets/d/1XL5vhW3sbDhbH9Cz0tuDiY8C3ctxq1tqvaCgkFb8cCA/edit?usp=sharing"",""หนองบัวลำภู!J444"")"),0)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IFERROR(__xludf.DUMMYFUNCTION("IMPORTRANGE(""https://docs.google.com/spreadsheets/d/1XL5vhW3sbDhbH9Cz0tuDiY8C3ctxq1tqvaCgkFb8cCA/edit?usp=sharing"",""หนองบัวลำภู!J445"")"),0)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IFERROR(__xludf.DUMMYFUNCTION("IMPORTRANGE(""https://docs.google.com/spreadsheets/d/1XL5vhW3sbDhbH9Cz0tuDiY8C3ctxq1tqvaCgkFb8cCA/edit?usp=sharing"",""หนองบัวลำภู!I446"")"),5000)</f>
        <v>5000</v>
      </c>
      <c r="J551" s="410">
        <f ca="1">IFERROR(__xludf.DUMMYFUNCTION("IMPORTRANGE(""https://docs.google.com/spreadsheets/d/1XL5vhW3sbDhbH9Cz0tuDiY8C3ctxq1tqvaCgkFb8cCA/edit?usp=sharing"",""หนองบัวลำภู!J446"")"),908)</f>
        <v>908</v>
      </c>
      <c r="K551" s="411">
        <f ca="1">IF(I551&gt;0,J551*100/I551,0)</f>
        <v>18.16</v>
      </c>
      <c r="L551" s="412">
        <f ca="1">IFERROR(__xludf.DUMMYFUNCTION("IMPORTRANGE(""https://docs.google.com/spreadsheets/d/1XL5vhW3sbDhbH9Cz0tuDiY8C3ctxq1tqvaCgkFb8cCA/edit?usp=sharing"",""หนองบัวลำภู!L446"")"),310000)</f>
        <v>310000</v>
      </c>
      <c r="M551" s="412"/>
      <c r="N551" s="412">
        <f ca="1">IFERROR(__xludf.DUMMYFUNCTION("IMPORTRANGE(""https://docs.google.com/spreadsheets/d/1XL5vhW3sbDhbH9Cz0tuDiY8C3ctxq1tqvaCgkFb8cCA/edit?usp=sharing"",""หนองบัวลำภู!M446"")"),171849.5)</f>
        <v>171849.5</v>
      </c>
      <c r="O551" s="412">
        <f t="shared" ref="O551:O555" ca="1" si="120">+IF(L551&gt;0,N551*100/L551,0)</f>
        <v>55.435322580645163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IFERROR(__xludf.DUMMYFUNCTION("IMPORTRANGE(""https://docs.google.com/spreadsheets/d/1XL5vhW3sbDhbH9Cz0tuDiY8C3ctxq1tqvaCgkFb8cCA/edit?usp=sharing"",""หนองบัวลำภู!L447"")"),0)</f>
        <v>0</v>
      </c>
      <c r="M552" s="164"/>
      <c r="N552" s="169">
        <f ca="1">IFERROR(__xludf.DUMMYFUNCTION("IMPORTRANGE(""https://docs.google.com/spreadsheets/d/1XL5vhW3sbDhbH9Cz0tuDiY8C3ctxq1tqvaCgkFb8cCA/edit?usp=sharing"",""หนองบัวลำภู!M447"")"),0)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IFERROR(__xludf.DUMMYFUNCTION("IMPORTRANGE(""https://docs.google.com/spreadsheets/d/1XL5vhW3sbDhbH9Cz0tuDiY8C3ctxq1tqvaCgkFb8cCA/edit?usp=sharing"",""หนองบัวลำภู!L448"")"),310000)</f>
        <v>310000</v>
      </c>
      <c r="M553" s="165"/>
      <c r="N553" s="169">
        <f ca="1">IFERROR(__xludf.DUMMYFUNCTION("IMPORTRANGE(""https://docs.google.com/spreadsheets/d/1XL5vhW3sbDhbH9Cz0tuDiY8C3ctxq1tqvaCgkFb8cCA/edit?usp=sharing"",""หนองบัวลำภู!M448"")"),171849.5)</f>
        <v>171849.5</v>
      </c>
      <c r="O553" s="169">
        <f t="shared" ca="1" si="120"/>
        <v>55.435322580645163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IFERROR(__xludf.DUMMYFUNCTION("IMPORTRANGE(""https://docs.google.com/spreadsheets/d/1XL5vhW3sbDhbH9Cz0tuDiY8C3ctxq1tqvaCgkFb8cCA/edit?usp=sharing"",""หนองบัวลำภู!L449"")"),0)</f>
        <v>0</v>
      </c>
      <c r="M554" s="169"/>
      <c r="N554" s="169">
        <f ca="1">IFERROR(__xludf.DUMMYFUNCTION("IMPORTRANGE(""https://docs.google.com/spreadsheets/d/1XL5vhW3sbDhbH9Cz0tuDiY8C3ctxq1tqvaCgkFb8cCA/edit?usp=sharing"",""หนองบัวลำภู!M449"")"),0)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IFERROR(__xludf.DUMMYFUNCTION("IMPORTRANGE(""https://docs.google.com/spreadsheets/d/1XL5vhW3sbDhbH9Cz0tuDiY8C3ctxq1tqvaCgkFb8cCA/edit?usp=sharing"",""หนองบัวลำภู!L450"")"),310000)</f>
        <v>310000</v>
      </c>
      <c r="M555" s="169"/>
      <c r="N555" s="169">
        <f ca="1">IFERROR(__xludf.DUMMYFUNCTION("IMPORTRANGE(""https://docs.google.com/spreadsheets/d/1XL5vhW3sbDhbH9Cz0tuDiY8C3ctxq1tqvaCgkFb8cCA/edit?usp=sharing"",""หนองบัวลำภู!M450"")"),171849.5)</f>
        <v>171849.5</v>
      </c>
      <c r="O555" s="169">
        <f t="shared" ca="1" si="120"/>
        <v>55.435322580645163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IFERROR(__xludf.DUMMYFUNCTION("IMPORTRANGE(""https://docs.google.com/spreadsheets/d/1XL5vhW3sbDhbH9Cz0tuDiY8C3ctxq1tqvaCgkFb8cCA/edit?usp=sharing"",""หนองบัวลำภู!M451"")"),0)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IFERROR(__xludf.DUMMYFUNCTION("IMPORTRANGE(""https://docs.google.com/spreadsheets/d/1XL5vhW3sbDhbH9Cz0tuDiY8C3ctxq1tqvaCgkFb8cCA/edit?usp=sharing"",""หนองบัวลำภู!M452"")"),0)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IFERROR(__xludf.DUMMYFUNCTION("IMPORTRANGE(""https://docs.google.com/spreadsheets/d/1XL5vhW3sbDhbH9Cz0tuDiY8C3ctxq1tqvaCgkFb8cCA/edit?usp=sharing"",""หนองบัวลำภู!M453"")"),40200)</f>
        <v>40200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IFERROR(__xludf.DUMMYFUNCTION("IMPORTRANGE(""https://docs.google.com/spreadsheets/d/1XL5vhW3sbDhbH9Cz0tuDiY8C3ctxq1tqvaCgkFb8cCA/edit?usp=sharing"",""หนองบัวลำภู!M454"")"),131649.5)</f>
        <v>131649.5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IFERROR(__xludf.DUMMYFUNCTION("IMPORTRANGE(""https://docs.google.com/spreadsheets/d/1XL5vhW3sbDhbH9Cz0tuDiY8C3ctxq1tqvaCgkFb8cCA/edit?usp=sharing"",""หนองบัวลำภู!I455"")"),5000)</f>
        <v>5000</v>
      </c>
      <c r="J560" s="162">
        <f ca="1">IFERROR(__xludf.DUMMYFUNCTION("IMPORTRANGE(""https://docs.google.com/spreadsheets/d/1XL5vhW3sbDhbH9Cz0tuDiY8C3ctxq1tqvaCgkFb8cCA/edit?usp=sharing"",""หนองบัวลำภู!J455"")"),908)</f>
        <v>908</v>
      </c>
      <c r="K560" s="224">
        <f t="shared" ref="K560:K561" ca="1" si="121">IF(I560&gt;0,J560*100/I560,0)</f>
        <v>18.16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IFERROR(__xludf.DUMMYFUNCTION("IMPORTRANGE(""https://docs.google.com/spreadsheets/d/1XL5vhW3sbDhbH9Cz0tuDiY8C3ctxq1tqvaCgkFb8cCA/edit?usp=sharing"",""หนองบัวลำภู!I456"")"),0)</f>
        <v>0</v>
      </c>
      <c r="J561" s="204">
        <f ca="1">IFERROR(__xludf.DUMMYFUNCTION("IMPORTRANGE(""https://docs.google.com/spreadsheets/d/1XL5vhW3sbDhbH9Cz0tuDiY8C3ctxq1tqvaCgkFb8cCA/edit?usp=sharing"",""หนองบัวลำภู!J456"")"),54)</f>
        <v>54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IFERROR(__xludf.DUMMYFUNCTION("IMPORTRANGE(""https://docs.google.com/spreadsheets/d/1XL5vhW3sbDhbH9Cz0tuDiY8C3ctxq1tqvaCgkFb8cCA/edit?usp=sharing"",""หนองบัวลำภู!I459"")"),3800)</f>
        <v>3800</v>
      </c>
      <c r="J564" s="371">
        <f ca="1">IFERROR(__xludf.DUMMYFUNCTION("IMPORTRANGE(""https://docs.google.com/spreadsheets/d/1XL5vhW3sbDhbH9Cz0tuDiY8C3ctxq1tqvaCgkFb8cCA/edit?usp=sharing"",""หนองบัวลำภู!J459"")"),3474)</f>
        <v>3474</v>
      </c>
      <c r="K564" s="372">
        <f ca="1">IF(I564&gt;0,J564*100/I564,0)</f>
        <v>91.421052631578945</v>
      </c>
      <c r="L564" s="373">
        <f ca="1">IFERROR(__xludf.DUMMYFUNCTION("IMPORTRANGE(""https://docs.google.com/spreadsheets/d/1XL5vhW3sbDhbH9Cz0tuDiY8C3ctxq1tqvaCgkFb8cCA/edit?usp=sharing"",""หนองบัวลำภู!L459"")"),152800)</f>
        <v>152800</v>
      </c>
      <c r="M564" s="373"/>
      <c r="N564" s="373">
        <f ca="1">IFERROR(__xludf.DUMMYFUNCTION("IMPORTRANGE(""https://docs.google.com/spreadsheets/d/1XL5vhW3sbDhbH9Cz0tuDiY8C3ctxq1tqvaCgkFb8cCA/edit?usp=sharing"",""หนองบัวลำภู!M459"")"),48779.84)</f>
        <v>48779.839999999997</v>
      </c>
      <c r="O564" s="373">
        <f t="shared" ref="O564:O568" ca="1" si="122">+IF(L564&gt;0,N564*100/L564,0)</f>
        <v>31.923979057591623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IFERROR(__xludf.DUMMYFUNCTION("IMPORTRANGE(""https://docs.google.com/spreadsheets/d/1XL5vhW3sbDhbH9Cz0tuDiY8C3ctxq1tqvaCgkFb8cCA/edit?usp=sharing"",""หนองบัวลำภู!L460"")"),0)</f>
        <v>0</v>
      </c>
      <c r="M565" s="164"/>
      <c r="N565" s="169">
        <f ca="1">IFERROR(__xludf.DUMMYFUNCTION("IMPORTRANGE(""https://docs.google.com/spreadsheets/d/1XL5vhW3sbDhbH9Cz0tuDiY8C3ctxq1tqvaCgkFb8cCA/edit?usp=sharing"",""หนองบัวลำภู!M460"")"),0)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IFERROR(__xludf.DUMMYFUNCTION("IMPORTRANGE(""https://docs.google.com/spreadsheets/d/1XL5vhW3sbDhbH9Cz0tuDiY8C3ctxq1tqvaCgkFb8cCA/edit?usp=sharing"",""หนองบัวลำภู!L461"")"),152800)</f>
        <v>152800</v>
      </c>
      <c r="M566" s="165"/>
      <c r="N566" s="169">
        <f ca="1">IFERROR(__xludf.DUMMYFUNCTION("IMPORTRANGE(""https://docs.google.com/spreadsheets/d/1XL5vhW3sbDhbH9Cz0tuDiY8C3ctxq1tqvaCgkFb8cCA/edit?usp=sharing"",""หนองบัวลำภู!M461"")"),48779.84)</f>
        <v>48779.839999999997</v>
      </c>
      <c r="O566" s="169">
        <f t="shared" ca="1" si="122"/>
        <v>31.923979057591623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IFERROR(__xludf.DUMMYFUNCTION("IMPORTRANGE(""https://docs.google.com/spreadsheets/d/1XL5vhW3sbDhbH9Cz0tuDiY8C3ctxq1tqvaCgkFb8cCA/edit?usp=sharing"",""หนองบัวลำภู!L462"")"),0)</f>
        <v>0</v>
      </c>
      <c r="M567" s="169"/>
      <c r="N567" s="169">
        <f ca="1">IFERROR(__xludf.DUMMYFUNCTION("IMPORTRANGE(""https://docs.google.com/spreadsheets/d/1XL5vhW3sbDhbH9Cz0tuDiY8C3ctxq1tqvaCgkFb8cCA/edit?usp=sharing"",""หนองบัวลำภู!M462"")"),0)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IFERROR(__xludf.DUMMYFUNCTION("IMPORTRANGE(""https://docs.google.com/spreadsheets/d/1XL5vhW3sbDhbH9Cz0tuDiY8C3ctxq1tqvaCgkFb8cCA/edit?usp=sharing"",""หนองบัวลำภู!L463"")"),152800)</f>
        <v>152800</v>
      </c>
      <c r="M568" s="169"/>
      <c r="N568" s="169">
        <f ca="1">IFERROR(__xludf.DUMMYFUNCTION("IMPORTRANGE(""https://docs.google.com/spreadsheets/d/1XL5vhW3sbDhbH9Cz0tuDiY8C3ctxq1tqvaCgkFb8cCA/edit?usp=sharing"",""หนองบัวลำภู!M463"")"),48779.84)</f>
        <v>48779.839999999997</v>
      </c>
      <c r="O568" s="169">
        <f t="shared" ca="1" si="122"/>
        <v>31.923979057591623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IFERROR(__xludf.DUMMYFUNCTION("IMPORTRANGE(""https://docs.google.com/spreadsheets/d/1XL5vhW3sbDhbH9Cz0tuDiY8C3ctxq1tqvaCgkFb8cCA/edit?usp=sharing"",""หนองบัวลำภู!M464"")"),0)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IFERROR(__xludf.DUMMYFUNCTION("IMPORTRANGE(""https://docs.google.com/spreadsheets/d/1XL5vhW3sbDhbH9Cz0tuDiY8C3ctxq1tqvaCgkFb8cCA/edit?usp=sharing"",""หนองบัวลำภู!M465"")"),0)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IFERROR(__xludf.DUMMYFUNCTION("IMPORTRANGE(""https://docs.google.com/spreadsheets/d/1XL5vhW3sbDhbH9Cz0tuDiY8C3ctxq1tqvaCgkFb8cCA/edit?usp=sharing"",""หนองบัวลำภู!M466"")"),41066.64)</f>
        <v>41066.639999999999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IFERROR(__xludf.DUMMYFUNCTION("IMPORTRANGE(""https://docs.google.com/spreadsheets/d/1XL5vhW3sbDhbH9Cz0tuDiY8C3ctxq1tqvaCgkFb8cCA/edit?usp=sharing"",""หนองบัวลำภู!M467"")"),7713.2)</f>
        <v>7713.2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IFERROR(__xludf.DUMMYFUNCTION("IMPORTRANGE(""https://docs.google.com/spreadsheets/d/1XL5vhW3sbDhbH9Cz0tuDiY8C3ctxq1tqvaCgkFb8cCA/edit?usp=sharing"",""หนองบัวลำภู!I468"")"),3800)</f>
        <v>3800</v>
      </c>
      <c r="J573" s="420">
        <f ca="1">IFERROR(__xludf.DUMMYFUNCTION("IMPORTRANGE(""https://docs.google.com/spreadsheets/d/1XL5vhW3sbDhbH9Cz0tuDiY8C3ctxq1tqvaCgkFb8cCA/edit?usp=sharing"",""หนองบัวลำภู!J468"")"),3474)</f>
        <v>3474</v>
      </c>
      <c r="K573" s="202">
        <f ca="1">IF(I573&gt;0,J573*100/I573,0)</f>
        <v>91.421052631578945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IFERROR(__xludf.DUMMYFUNCTION("IMPORTRANGE(""https://docs.google.com/spreadsheets/d/1XL5vhW3sbDhbH9Cz0tuDiY8C3ctxq1tqvaCgkFb8cCA/edit?usp=sharing"",""หนองบัวลำภู!I470"")"),6)</f>
        <v>6</v>
      </c>
      <c r="J575" s="198">
        <f ca="1">IFERROR(__xludf.DUMMYFUNCTION("IMPORTRANGE(""https://docs.google.com/spreadsheets/d/1XL5vhW3sbDhbH9Cz0tuDiY8C3ctxq1tqvaCgkFb8cCA/edit?usp=sharing"",""หนองบัวลำภู!J470"")"),2)</f>
        <v>2</v>
      </c>
      <c r="K575" s="163">
        <f t="shared" ref="K575:K579" ca="1" si="123">IF(I575&gt;0,J575*100/I575,0)</f>
        <v>33.333333333333336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IFERROR(__xludf.DUMMYFUNCTION("IMPORTRANGE(""https://docs.google.com/spreadsheets/d/1XL5vhW3sbDhbH9Cz0tuDiY8C3ctxq1tqvaCgkFb8cCA/edit?usp=sharing"",""หนองบัวลำภู!I471"")"),0)</f>
        <v>0</v>
      </c>
      <c r="J576" s="198">
        <f ca="1">IFERROR(__xludf.DUMMYFUNCTION("IMPORTRANGE(""https://docs.google.com/spreadsheets/d/1XL5vhW3sbDhbH9Cz0tuDiY8C3ctxq1tqvaCgkFb8cCA/edit?usp=sharing"",""หนองบัวลำภู!J471"")"),131)</f>
        <v>131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IFERROR(__xludf.DUMMYFUNCTION("IMPORTRANGE(""https://docs.google.com/spreadsheets/d/1XL5vhW3sbDhbH9Cz0tuDiY8C3ctxq1tqvaCgkFb8cCA/edit?usp=sharing"",""หนองบัวลำภู!I472"")"),0)</f>
        <v>0</v>
      </c>
      <c r="J577" s="189">
        <f ca="1">IFERROR(__xludf.DUMMYFUNCTION("IMPORTRANGE(""https://docs.google.com/spreadsheets/d/1XL5vhW3sbDhbH9Cz0tuDiY8C3ctxq1tqvaCgkFb8cCA/edit?usp=sharing"",""หนองบัวลำภู!J472"")"),3343)</f>
        <v>3343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IFERROR(__xludf.DUMMYFUNCTION("IMPORTRANGE(""https://docs.google.com/spreadsheets/d/1XL5vhW3sbDhbH9Cz0tuDiY8C3ctxq1tqvaCgkFb8cCA/edit?usp=sharing"",""หนองบัวลำภู!I473"")"),0)</f>
        <v>0</v>
      </c>
      <c r="J578" s="198">
        <f ca="1">IFERROR(__xludf.DUMMYFUNCTION("IMPORTRANGE(""https://docs.google.com/spreadsheets/d/1XL5vhW3sbDhbH9Cz0tuDiY8C3ctxq1tqvaCgkFb8cCA/edit?usp=sharing"",""หนองบัวลำภู!J473"")"),0)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IFERROR(__xludf.DUMMYFUNCTION("IMPORTRANGE(""https://docs.google.com/spreadsheets/d/1XL5vhW3sbDhbH9Cz0tuDiY8C3ctxq1tqvaCgkFb8cCA/edit?usp=sharing"",""หนองบัวลำภู!I474"")"),0)</f>
        <v>0</v>
      </c>
      <c r="J579" s="198">
        <f ca="1">IFERROR(__xludf.DUMMYFUNCTION("IMPORTRANGE(""https://docs.google.com/spreadsheets/d/1XL5vhW3sbDhbH9Cz0tuDiY8C3ctxq1tqvaCgkFb8cCA/edit?usp=sharing"",""หนองบัวลำภู!J474"")"),0)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IFERROR(__xludf.DUMMYFUNCTION("IMPORTRANGE(""https://docs.google.com/spreadsheets/d/1XL5vhW3sbDhbH9Cz0tuDiY8C3ctxq1tqvaCgkFb8cCA/edit?usp=sharing"",""หนองบัวลำภู!I475"")"),150)</f>
        <v>150</v>
      </c>
      <c r="J580" s="371">
        <f ca="1">IFERROR(__xludf.DUMMYFUNCTION("IMPORTRANGE(""https://docs.google.com/spreadsheets/d/1XL5vhW3sbDhbH9Cz0tuDiY8C3ctxq1tqvaCgkFb8cCA/edit?usp=sharing"",""หนองบัวลำภู!J475"")"),0)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IFERROR(__xludf.DUMMYFUNCTION("IMPORTRANGE(""https://docs.google.com/spreadsheets/d/1XL5vhW3sbDhbH9Cz0tuDiY8C3ctxq1tqvaCgkFb8cCA/edit?usp=sharing"",""หนองบัวลำภู!L475"")"),327050)</f>
        <v>327050</v>
      </c>
      <c r="M580" s="373"/>
      <c r="N580" s="373">
        <f ca="1">IFERROR(__xludf.DUMMYFUNCTION("IMPORTRANGE(""https://docs.google.com/spreadsheets/d/1XL5vhW3sbDhbH9Cz0tuDiY8C3ctxq1tqvaCgkFb8cCA/edit?usp=sharing"",""หนองบัวลำภู!M475"")"),81600.03)</f>
        <v>81600.03</v>
      </c>
      <c r="O580" s="373">
        <f t="shared" ref="O580:O584" ca="1" si="124">+IF(L580&gt;0,N580*100/L580,0)</f>
        <v>24.95032258064516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IFERROR(__xludf.DUMMYFUNCTION("IMPORTRANGE(""https://docs.google.com/spreadsheets/d/1XL5vhW3sbDhbH9Cz0tuDiY8C3ctxq1tqvaCgkFb8cCA/edit?usp=sharing"",""หนองบัวลำภู!L476"")"),0)</f>
        <v>0</v>
      </c>
      <c r="M581" s="164"/>
      <c r="N581" s="169">
        <f ca="1">IFERROR(__xludf.DUMMYFUNCTION("IMPORTRANGE(""https://docs.google.com/spreadsheets/d/1XL5vhW3sbDhbH9Cz0tuDiY8C3ctxq1tqvaCgkFb8cCA/edit?usp=sharing"",""หนองบัวลำภู!M476"")"),0)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IFERROR(__xludf.DUMMYFUNCTION("IMPORTRANGE(""https://docs.google.com/spreadsheets/d/1XL5vhW3sbDhbH9Cz0tuDiY8C3ctxq1tqvaCgkFb8cCA/edit?usp=sharing"",""หนองบัวลำภู!L477"")"),327050)</f>
        <v>327050</v>
      </c>
      <c r="M582" s="165"/>
      <c r="N582" s="169">
        <f ca="1">IFERROR(__xludf.DUMMYFUNCTION("IMPORTRANGE(""https://docs.google.com/spreadsheets/d/1XL5vhW3sbDhbH9Cz0tuDiY8C3ctxq1tqvaCgkFb8cCA/edit?usp=sharing"",""หนองบัวลำภู!M477"")"),81600.03)</f>
        <v>81600.03</v>
      </c>
      <c r="O582" s="169">
        <f t="shared" ca="1" si="124"/>
        <v>24.95032258064516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IFERROR(__xludf.DUMMYFUNCTION("IMPORTRANGE(""https://docs.google.com/spreadsheets/d/1XL5vhW3sbDhbH9Cz0tuDiY8C3ctxq1tqvaCgkFb8cCA/edit?usp=sharing"",""หนองบัวลำภู!L478"")"),0)</f>
        <v>0</v>
      </c>
      <c r="M583" s="169"/>
      <c r="N583" s="169">
        <f ca="1">IFERROR(__xludf.DUMMYFUNCTION("IMPORTRANGE(""https://docs.google.com/spreadsheets/d/1XL5vhW3sbDhbH9Cz0tuDiY8C3ctxq1tqvaCgkFb8cCA/edit?usp=sharing"",""หนองบัวลำภู!M478"")"),0)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IFERROR(__xludf.DUMMYFUNCTION("IMPORTRANGE(""https://docs.google.com/spreadsheets/d/1XL5vhW3sbDhbH9Cz0tuDiY8C3ctxq1tqvaCgkFb8cCA/edit?usp=sharing"",""หนองบัวลำภู!L479"")"),327050)</f>
        <v>327050</v>
      </c>
      <c r="M584" s="169"/>
      <c r="N584" s="169">
        <f ca="1">IFERROR(__xludf.DUMMYFUNCTION("IMPORTRANGE(""https://docs.google.com/spreadsheets/d/1XL5vhW3sbDhbH9Cz0tuDiY8C3ctxq1tqvaCgkFb8cCA/edit?usp=sharing"",""หนองบัวลำภู!M479"")"),81600.03)</f>
        <v>81600.03</v>
      </c>
      <c r="O584" s="169">
        <f t="shared" ca="1" si="124"/>
        <v>24.95032258064516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IFERROR(__xludf.DUMMYFUNCTION("IMPORTRANGE(""https://docs.google.com/spreadsheets/d/1XL5vhW3sbDhbH9Cz0tuDiY8C3ctxq1tqvaCgkFb8cCA/edit?usp=sharing"",""หนองบัวลำภู!M480"")"),0)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IFERROR(__xludf.DUMMYFUNCTION("IMPORTRANGE(""https://docs.google.com/spreadsheets/d/1XL5vhW3sbDhbH9Cz0tuDiY8C3ctxq1tqvaCgkFb8cCA/edit?usp=sharing"",""หนองบัวลำภู!M481"")"),0)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IFERROR(__xludf.DUMMYFUNCTION("IMPORTRANGE(""https://docs.google.com/spreadsheets/d/1XL5vhW3sbDhbH9Cz0tuDiY8C3ctxq1tqvaCgkFb8cCA/edit?usp=sharing"",""หนองบัวลำภู!M482"")"),58300.03)</f>
        <v>58300.03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IFERROR(__xludf.DUMMYFUNCTION("IMPORTRANGE(""https://docs.google.com/spreadsheets/d/1XL5vhW3sbDhbH9Cz0tuDiY8C3ctxq1tqvaCgkFb8cCA/edit?usp=sharing"",""หนองบัวลำภู!M483"")"),23300)</f>
        <v>23300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IFERROR(__xludf.DUMMYFUNCTION("IMPORTRANGE(""https://docs.google.com/spreadsheets/d/1XL5vhW3sbDhbH9Cz0tuDiY8C3ctxq1tqvaCgkFb8cCA/edit?usp=sharing"",""หนองบัวลำภู!I484"")"),150)</f>
        <v>150</v>
      </c>
      <c r="J589" s="188">
        <f ca="1">IFERROR(__xludf.DUMMYFUNCTION("IMPORTRANGE(""https://docs.google.com/spreadsheets/d/1XL5vhW3sbDhbH9Cz0tuDiY8C3ctxq1tqvaCgkFb8cCA/edit?usp=sharing"",""หนองบัวลำภู!J484"")"),63)</f>
        <v>63</v>
      </c>
      <c r="K589" s="163">
        <f t="shared" ref="K589:K596" ca="1" si="125">IF(I589&gt;0,J589*100/I589,0)</f>
        <v>42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IFERROR(__xludf.DUMMYFUNCTION("IMPORTRANGE(""https://docs.google.com/spreadsheets/d/1XL5vhW3sbDhbH9Cz0tuDiY8C3ctxq1tqvaCgkFb8cCA/edit?usp=sharing"",""หนองบัวลำภู!I485"")"),0)</f>
        <v>0</v>
      </c>
      <c r="J590" s="188">
        <f ca="1">IFERROR(__xludf.DUMMYFUNCTION("IMPORTRANGE(""https://docs.google.com/spreadsheets/d/1XL5vhW3sbDhbH9Cz0tuDiY8C3ctxq1tqvaCgkFb8cCA/edit?usp=sharing"",""หนองบัวลำภู!J485"")"),39.54)</f>
        <v>39.54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IFERROR(__xludf.DUMMYFUNCTION("IMPORTRANGE(""https://docs.google.com/spreadsheets/d/1XL5vhW3sbDhbH9Cz0tuDiY8C3ctxq1tqvaCgkFb8cCA/edit?usp=sharing"",""หนองบัวลำภู!I486"")"),150)</f>
        <v>150</v>
      </c>
      <c r="J591" s="188">
        <f ca="1">IFERROR(__xludf.DUMMYFUNCTION("IMPORTRANGE(""https://docs.google.com/spreadsheets/d/1XL5vhW3sbDhbH9Cz0tuDiY8C3ctxq1tqvaCgkFb8cCA/edit?usp=sharing"",""หนองบัวลำภู!J486"")"),0)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IFERROR(__xludf.DUMMYFUNCTION("IMPORTRANGE(""https://docs.google.com/spreadsheets/d/1XL5vhW3sbDhbH9Cz0tuDiY8C3ctxq1tqvaCgkFb8cCA/edit?usp=sharing"",""หนองบัวลำภู!I487"")"),0)</f>
        <v>0</v>
      </c>
      <c r="J592" s="188">
        <f ca="1">IFERROR(__xludf.DUMMYFUNCTION("IMPORTRANGE(""https://docs.google.com/spreadsheets/d/1XL5vhW3sbDhbH9Cz0tuDiY8C3ctxq1tqvaCgkFb8cCA/edit?usp=sharing"",""หนองบัวลำภู!J487"")"),0)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IFERROR(__xludf.DUMMYFUNCTION("IMPORTRANGE(""https://docs.google.com/spreadsheets/d/1XL5vhW3sbDhbH9Cz0tuDiY8C3ctxq1tqvaCgkFb8cCA/edit?usp=sharing"",""หนองบัวลำภู!I488"")"),150)</f>
        <v>150</v>
      </c>
      <c r="J593" s="188">
        <f ca="1">IFERROR(__xludf.DUMMYFUNCTION("IMPORTRANGE(""https://docs.google.com/spreadsheets/d/1XL5vhW3sbDhbH9Cz0tuDiY8C3ctxq1tqvaCgkFb8cCA/edit?usp=sharing"",""หนองบัวลำภู!J488"")"),0)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IFERROR(__xludf.DUMMYFUNCTION("IMPORTRANGE(""https://docs.google.com/spreadsheets/d/1XL5vhW3sbDhbH9Cz0tuDiY8C3ctxq1tqvaCgkFb8cCA/edit?usp=sharing"",""หนองบัวลำภู!I489"")"),0)</f>
        <v>0</v>
      </c>
      <c r="J594" s="188">
        <f ca="1">IFERROR(__xludf.DUMMYFUNCTION("IMPORTRANGE(""https://docs.google.com/spreadsheets/d/1XL5vhW3sbDhbH9Cz0tuDiY8C3ctxq1tqvaCgkFb8cCA/edit?usp=sharing"",""หนองบัวลำภู!J489"")"),0)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IFERROR(__xludf.DUMMYFUNCTION("IMPORTRANGE(""https://docs.google.com/spreadsheets/d/1XL5vhW3sbDhbH9Cz0tuDiY8C3ctxq1tqvaCgkFb8cCA/edit?usp=sharing"",""หนองบัวลำภู!I490"")"),150)</f>
        <v>150</v>
      </c>
      <c r="J595" s="188">
        <f ca="1">IFERROR(__xludf.DUMMYFUNCTION("IMPORTRANGE(""https://docs.google.com/spreadsheets/d/1XL5vhW3sbDhbH9Cz0tuDiY8C3ctxq1tqvaCgkFb8cCA/edit?usp=sharing"",""หนองบัวลำภู!J490"")"),0)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IFERROR(__xludf.DUMMYFUNCTION("IMPORTRANGE(""https://docs.google.com/spreadsheets/d/1XL5vhW3sbDhbH9Cz0tuDiY8C3ctxq1tqvaCgkFb8cCA/edit?usp=sharing"",""หนองบัวลำภู!I491"")"),0)</f>
        <v>0</v>
      </c>
      <c r="J596" s="241">
        <f ca="1">IFERROR(__xludf.DUMMYFUNCTION("IMPORTRANGE(""https://docs.google.com/spreadsheets/d/1XL5vhW3sbDhbH9Cz0tuDiY8C3ctxq1tqvaCgkFb8cCA/edit?usp=sharing"",""หนองบัวลำภู!J491"")"),0)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IFERROR(__xludf.DUMMYFUNCTION("IMPORTRANGE(""https://docs.google.com/spreadsheets/d/1XL5vhW3sbDhbH9Cz0tuDiY8C3ctxq1tqvaCgkFb8cCA/edit?usp=sharing"",""หนองบัวลำภู!I492"")"),100)</f>
        <v>100</v>
      </c>
      <c r="J597" s="487">
        <f ca="1">IFERROR(__xludf.DUMMYFUNCTION("IMPORTRANGE(""https://docs.google.com/spreadsheets/d/1XL5vhW3sbDhbH9Cz0tuDiY8C3ctxq1tqvaCgkFb8cCA/edit?usp=sharing"",""หนองบัวลำภู!J492"")"),0)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IFERROR(__xludf.DUMMYFUNCTION("IMPORTRANGE(""https://docs.google.com/spreadsheets/d/1XL5vhW3sbDhbH9Cz0tuDiY8C3ctxq1tqvaCgkFb8cCA/edit?usp=sharing"",""หนองบัวลำภู!L492"")"),11300)</f>
        <v>11300</v>
      </c>
      <c r="M597" s="412"/>
      <c r="N597" s="412">
        <f ca="1">IFERROR(__xludf.DUMMYFUNCTION("IMPORTRANGE(""https://docs.google.com/spreadsheets/d/1XL5vhW3sbDhbH9Cz0tuDiY8C3ctxq1tqvaCgkFb8cCA/edit?usp=sharing"",""หนองบัวลำภู!M492"")"),2795)</f>
        <v>2795</v>
      </c>
      <c r="O597" s="412">
        <f t="shared" ref="O597:O601" ca="1" si="126">+IF(L597&gt;0,N597*100/L597,0)</f>
        <v>24.734513274336283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IFERROR(__xludf.DUMMYFUNCTION("IMPORTRANGE(""https://docs.google.com/spreadsheets/d/1XL5vhW3sbDhbH9Cz0tuDiY8C3ctxq1tqvaCgkFb8cCA/edit?usp=sharing"",""หนองบัวลำภู!L493"")"),0)</f>
        <v>0</v>
      </c>
      <c r="M598" s="164"/>
      <c r="N598" s="169">
        <f ca="1">IFERROR(__xludf.DUMMYFUNCTION("IMPORTRANGE(""https://docs.google.com/spreadsheets/d/1XL5vhW3sbDhbH9Cz0tuDiY8C3ctxq1tqvaCgkFb8cCA/edit?usp=sharing"",""หนองบัวลำภู!M493"")"),0)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IFERROR(__xludf.DUMMYFUNCTION("IMPORTRANGE(""https://docs.google.com/spreadsheets/d/1XL5vhW3sbDhbH9Cz0tuDiY8C3ctxq1tqvaCgkFb8cCA/edit?usp=sharing"",""หนองบัวลำภู!L494"")"),11300)</f>
        <v>11300</v>
      </c>
      <c r="M599" s="165"/>
      <c r="N599" s="169">
        <f ca="1">IFERROR(__xludf.DUMMYFUNCTION("IMPORTRANGE(""https://docs.google.com/spreadsheets/d/1XL5vhW3sbDhbH9Cz0tuDiY8C3ctxq1tqvaCgkFb8cCA/edit?usp=sharing"",""หนองบัวลำภู!M494"")"),2795)</f>
        <v>2795</v>
      </c>
      <c r="O599" s="169">
        <f t="shared" ca="1" si="126"/>
        <v>24.734513274336283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IFERROR(__xludf.DUMMYFUNCTION("IMPORTRANGE(""https://docs.google.com/spreadsheets/d/1XL5vhW3sbDhbH9Cz0tuDiY8C3ctxq1tqvaCgkFb8cCA/edit?usp=sharing"",""หนองบัวลำภู!L495"")"),0)</f>
        <v>0</v>
      </c>
      <c r="M600" s="169"/>
      <c r="N600" s="169">
        <f ca="1">IFERROR(__xludf.DUMMYFUNCTION("IMPORTRANGE(""https://docs.google.com/spreadsheets/d/1XL5vhW3sbDhbH9Cz0tuDiY8C3ctxq1tqvaCgkFb8cCA/edit?usp=sharing"",""หนองบัวลำภู!M495"")"),0)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IFERROR(__xludf.DUMMYFUNCTION("IMPORTRANGE(""https://docs.google.com/spreadsheets/d/1XL5vhW3sbDhbH9Cz0tuDiY8C3ctxq1tqvaCgkFb8cCA/edit?usp=sharing"",""หนองบัวลำภู!L496"")"),11300)</f>
        <v>11300</v>
      </c>
      <c r="M601" s="169"/>
      <c r="N601" s="169">
        <f ca="1">IFERROR(__xludf.DUMMYFUNCTION("IMPORTRANGE(""https://docs.google.com/spreadsheets/d/1XL5vhW3sbDhbH9Cz0tuDiY8C3ctxq1tqvaCgkFb8cCA/edit?usp=sharing"",""หนองบัวลำภู!M496"")"),2795)</f>
        <v>2795</v>
      </c>
      <c r="O601" s="169">
        <f t="shared" ca="1" si="126"/>
        <v>24.734513274336283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IFERROR(__xludf.DUMMYFUNCTION("IMPORTRANGE(""https://docs.google.com/spreadsheets/d/1XL5vhW3sbDhbH9Cz0tuDiY8C3ctxq1tqvaCgkFb8cCA/edit?usp=sharing"",""หนองบัวลำภู!M497"")"),0)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IFERROR(__xludf.DUMMYFUNCTION("IMPORTRANGE(""https://docs.google.com/spreadsheets/d/1XL5vhW3sbDhbH9Cz0tuDiY8C3ctxq1tqvaCgkFb8cCA/edit?usp=sharing"",""หนองบัวลำภู!M498"")"),0)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IFERROR(__xludf.DUMMYFUNCTION("IMPORTRANGE(""https://docs.google.com/spreadsheets/d/1XL5vhW3sbDhbH9Cz0tuDiY8C3ctxq1tqvaCgkFb8cCA/edit?usp=sharing"",""หนองบัวลำภู!M499"")"),0)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IFERROR(__xludf.DUMMYFUNCTION("IMPORTRANGE(""https://docs.google.com/spreadsheets/d/1XL5vhW3sbDhbH9Cz0tuDiY8C3ctxq1tqvaCgkFb8cCA/edit?usp=sharing"",""หนองบัวลำภู!M500"")"),2795)</f>
        <v>2795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IFERROR(__xludf.DUMMYFUNCTION("IMPORTRANGE(""https://docs.google.com/spreadsheets/d/1XL5vhW3sbDhbH9Cz0tuDiY8C3ctxq1tqvaCgkFb8cCA/edit?usp=sharing"",""หนองบัวลำภู!J502"")"),0)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IFERROR(__xludf.DUMMYFUNCTION("IMPORTRANGE(""https://docs.google.com/spreadsheets/d/1XL5vhW3sbDhbH9Cz0tuDiY8C3ctxq1tqvaCgkFb8cCA/edit?usp=sharing"",""หนองบัวลำภู!J503"")"),1)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539"/>
      <c r="B609" s="540"/>
      <c r="C609" s="540"/>
      <c r="D609" s="541"/>
      <c r="E609" s="542" t="s">
        <v>46</v>
      </c>
      <c r="F609" s="543"/>
      <c r="G609" s="544"/>
      <c r="H609" s="545"/>
      <c r="I609" s="546"/>
      <c r="J609" s="546">
        <f ca="1">IFERROR(__xludf.DUMMYFUNCTION("IMPORTRANGE(""https://docs.google.com/spreadsheets/d/1XL5vhW3sbDhbH9Cz0tuDiY8C3ctxq1tqvaCgkFb8cCA/edit?usp=sharing"",""หนองบัวลำภู!J166"")"),0)</f>
        <v>0</v>
      </c>
      <c r="K609" s="547"/>
      <c r="L609" s="548"/>
      <c r="M609" s="548"/>
      <c r="N609" s="548"/>
      <c r="O609" s="548"/>
      <c r="P609" s="548"/>
    </row>
    <row r="610" spans="1:16" ht="21.75" hidden="1" customHeight="1" x14ac:dyDescent="0.35">
      <c r="A610" s="539"/>
      <c r="B610" s="540"/>
      <c r="C610" s="540"/>
      <c r="D610" s="541"/>
      <c r="E610" s="542" t="s">
        <v>47</v>
      </c>
      <c r="F610" s="543"/>
      <c r="G610" s="544"/>
      <c r="H610" s="545"/>
      <c r="I610" s="546"/>
      <c r="J610" s="546">
        <f ca="1">IFERROR(__xludf.DUMMYFUNCTION("IMPORTRANGE(""https://docs.google.com/spreadsheets/d/1XL5vhW3sbDhbH9Cz0tuDiY8C3ctxq1tqvaCgkFb8cCA/edit?usp=sharing"",""หนองบัวลำภู!J166"")"),0)</f>
        <v>0</v>
      </c>
      <c r="K610" s="547"/>
      <c r="L610" s="548"/>
      <c r="M610" s="548"/>
      <c r="N610" s="548"/>
      <c r="O610" s="548"/>
      <c r="P610" s="548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IFERROR(__xludf.DUMMYFUNCTION("IMPORTRANGE(""https://docs.google.com/spreadsheets/d/1XL5vhW3sbDhbH9Cz0tuDiY8C3ctxq1tqvaCgkFb8cCA/edit?usp=sharing"",""หนองบัวลำภู!I506"")"),100)</f>
        <v>100</v>
      </c>
      <c r="J611" s="162">
        <f ca="1">IFERROR(__xludf.DUMMYFUNCTION("IMPORTRANGE(""https://docs.google.com/spreadsheets/d/1XL5vhW3sbDhbH9Cz0tuDiY8C3ctxq1tqvaCgkFb8cCA/edit?usp=sharing"",""หนองบัวลำภู!J506"")"),0)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IFERROR(__xludf.DUMMYFUNCTION("IMPORTRANGE(""https://docs.google.com/spreadsheets/d/1XL5vhW3sbDhbH9Cz0tuDiY8C3ctxq1tqvaCgkFb8cCA/edit?usp=sharing"",""หนองบัวลำภู!I507"")"),0)</f>
        <v>0</v>
      </c>
      <c r="J612" s="198">
        <f ca="1">IFERROR(__xludf.DUMMYFUNCTION("IMPORTRANGE(""https://docs.google.com/spreadsheets/d/1XL5vhW3sbDhbH9Cz0tuDiY8C3ctxq1tqvaCgkFb8cCA/edit?usp=sharing"",""หนองบัวลำภู!J507"")"),0)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IFERROR(__xludf.DUMMYFUNCTION("IMPORTRANGE(""https://docs.google.com/spreadsheets/d/1XL5vhW3sbDhbH9Cz0tuDiY8C3ctxq1tqvaCgkFb8cCA/edit?usp=sharing"",""หนองบัวลำภู!I508"")"),0)</f>
        <v>0</v>
      </c>
      <c r="J613" s="198">
        <f ca="1">IFERROR(__xludf.DUMMYFUNCTION("IMPORTRANGE(""https://docs.google.com/spreadsheets/d/1XL5vhW3sbDhbH9Cz0tuDiY8C3ctxq1tqvaCgkFb8cCA/edit?usp=sharing"",""หนองบัวลำภู!J508"")"),0)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IFERROR(__xludf.DUMMYFUNCTION("IMPORTRANGE(""https://docs.google.com/spreadsheets/d/1XL5vhW3sbDhbH9Cz0tuDiY8C3ctxq1tqvaCgkFb8cCA/edit?usp=sharing"",""หนองบัวลำภู!I509"")"),0)</f>
        <v>0</v>
      </c>
      <c r="J614" s="198">
        <f ca="1">IFERROR(__xludf.DUMMYFUNCTION("IMPORTRANGE(""https://docs.google.com/spreadsheets/d/1XL5vhW3sbDhbH9Cz0tuDiY8C3ctxq1tqvaCgkFb8cCA/edit?usp=sharing"",""หนองบัวลำภู!J509"")"),0)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IFERROR(__xludf.DUMMYFUNCTION("IMPORTRANGE(""https://docs.google.com/spreadsheets/d/1XL5vhW3sbDhbH9Cz0tuDiY8C3ctxq1tqvaCgkFb8cCA/edit?usp=sharing"",""หนองบัวลำภู!I510"")"),0)</f>
        <v>0</v>
      </c>
      <c r="J615" s="198">
        <f ca="1">IFERROR(__xludf.DUMMYFUNCTION("IMPORTRANGE(""https://docs.google.com/spreadsheets/d/1XL5vhW3sbDhbH9Cz0tuDiY8C3ctxq1tqvaCgkFb8cCA/edit?usp=sharing"",""หนองบัวลำภู!J510"")"),0)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IFERROR(__xludf.DUMMYFUNCTION("IMPORTRANGE(""https://docs.google.com/spreadsheets/d/1XL5vhW3sbDhbH9Cz0tuDiY8C3ctxq1tqvaCgkFb8cCA/edit?usp=sharing"",""หนองบัวลำภู!I511"")"),0)</f>
        <v>0</v>
      </c>
      <c r="J616" s="198">
        <f ca="1">IFERROR(__xludf.DUMMYFUNCTION("IMPORTRANGE(""https://docs.google.com/spreadsheets/d/1XL5vhW3sbDhbH9Cz0tuDiY8C3ctxq1tqvaCgkFb8cCA/edit?usp=sharing"",""หนองบัวลำภู!J511"")"),0)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IFERROR(__xludf.DUMMYFUNCTION("IMPORTRANGE(""https://docs.google.com/spreadsheets/d/1XL5vhW3sbDhbH9Cz0tuDiY8C3ctxq1tqvaCgkFb8cCA/edit?usp=sharing"",""หนองบัวลำภู!I512"")"),0)</f>
        <v>0</v>
      </c>
      <c r="J617" s="188">
        <f ca="1">IFERROR(__xludf.DUMMYFUNCTION("IMPORTRANGE(""https://docs.google.com/spreadsheets/d/1XL5vhW3sbDhbH9Cz0tuDiY8C3ctxq1tqvaCgkFb8cCA/edit?usp=sharing"",""หนองบัวลำภู!J512"")"),0)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IFERROR(__xludf.DUMMYFUNCTION("IMPORTRANGE(""https://docs.google.com/spreadsheets/d/1XL5vhW3sbDhbH9Cz0tuDiY8C3ctxq1tqvaCgkFb8cCA/edit?usp=sharing"",""หนองบัวลำภู!I513"")"),0)</f>
        <v>0</v>
      </c>
      <c r="J618" s="189">
        <f ca="1">IFERROR(__xludf.DUMMYFUNCTION("IMPORTRANGE(""https://docs.google.com/spreadsheets/d/1XL5vhW3sbDhbH9Cz0tuDiY8C3ctxq1tqvaCgkFb8cCA/edit?usp=sharing"",""หนองบัวลำภู!J513"")"),0)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IFERROR(__xludf.DUMMYFUNCTION("IMPORTRANGE(""https://docs.google.com/spreadsheets/d/1XL5vhW3sbDhbH9Cz0tuDiY8C3ctxq1tqvaCgkFb8cCA/edit?usp=sharing"",""หนองบัวลำภู!I514"")"),0)</f>
        <v>0</v>
      </c>
      <c r="J619" s="189">
        <f ca="1">IFERROR(__xludf.DUMMYFUNCTION("IMPORTRANGE(""https://docs.google.com/spreadsheets/d/1XL5vhW3sbDhbH9Cz0tuDiY8C3ctxq1tqvaCgkFb8cCA/edit?usp=sharing"",""หนองบัวลำภู!J514"")"),0)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IFERROR(__xludf.DUMMYFUNCTION("IMPORTRANGE(""https://docs.google.com/spreadsheets/d/1XL5vhW3sbDhbH9Cz0tuDiY8C3ctxq1tqvaCgkFb8cCA/edit?usp=sharing"",""หนองบัวลำภู!I515"")"),0)</f>
        <v>0</v>
      </c>
      <c r="J620" s="203">
        <f ca="1">IFERROR(__xludf.DUMMYFUNCTION("IMPORTRANGE(""https://docs.google.com/spreadsheets/d/1XL5vhW3sbDhbH9Cz0tuDiY8C3ctxq1tqvaCgkFb8cCA/edit?usp=sharing"",""หนองบัวลำภู!J515"")"),0)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IFERROR(__xludf.DUMMYFUNCTION("IMPORTRANGE(""https://docs.google.com/spreadsheets/d/1XL5vhW3sbDhbH9Cz0tuDiY8C3ctxq1tqvaCgkFb8cCA/edit?usp=sharing"",""หนองบัวลำภู!I516"")"),0)</f>
        <v>0</v>
      </c>
      <c r="J621" s="203">
        <f ca="1">IFERROR(__xludf.DUMMYFUNCTION("IMPORTRANGE(""https://docs.google.com/spreadsheets/d/1XL5vhW3sbDhbH9Cz0tuDiY8C3ctxq1tqvaCgkFb8cCA/edit?usp=sharing"",""หนองบัวลำภู!J516"")"),0)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IFERROR(__xludf.DUMMYFUNCTION("IMPORTRANGE(""https://docs.google.com/spreadsheets/d/1XL5vhW3sbDhbH9Cz0tuDiY8C3ctxq1tqvaCgkFb8cCA/edit?usp=sharing"",""หนองบัวลำภู!I517"")"),0)</f>
        <v>0</v>
      </c>
      <c r="J622" s="189">
        <f ca="1">IFERROR(__xludf.DUMMYFUNCTION("IMPORTRANGE(""https://docs.google.com/spreadsheets/d/1XL5vhW3sbDhbH9Cz0tuDiY8C3ctxq1tqvaCgkFb8cCA/edit?usp=sharing"",""หนองบัวลำภู!J517"")"),0)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IFERROR(__xludf.DUMMYFUNCTION("IMPORTRANGE(""https://docs.google.com/spreadsheets/d/1XL5vhW3sbDhbH9Cz0tuDiY8C3ctxq1tqvaCgkFb8cCA/edit?usp=sharing"",""หนองบัวลำภู!I518"")"),0)</f>
        <v>0</v>
      </c>
      <c r="J623" s="189">
        <f ca="1">IFERROR(__xludf.DUMMYFUNCTION("IMPORTRANGE(""https://docs.google.com/spreadsheets/d/1XL5vhW3sbDhbH9Cz0tuDiY8C3ctxq1tqvaCgkFb8cCA/edit?usp=sharing"",""หนองบัวลำภู!J518"")"),0)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IFERROR(__xludf.DUMMYFUNCTION("IMPORTRANGE(""https://docs.google.com/spreadsheets/d/1XL5vhW3sbDhbH9Cz0tuDiY8C3ctxq1tqvaCgkFb8cCA/edit?usp=sharing"",""หนองบัวลำภู!I519"")"),0)</f>
        <v>0</v>
      </c>
      <c r="J624" s="188">
        <f ca="1">IFERROR(__xludf.DUMMYFUNCTION("IMPORTRANGE(""https://docs.google.com/spreadsheets/d/1XL5vhW3sbDhbH9Cz0tuDiY8C3ctxq1tqvaCgkFb8cCA/edit?usp=sharing"",""หนองบัวลำภู!J519"")"),0)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IFERROR(__xludf.DUMMYFUNCTION("IMPORTRANGE(""https://docs.google.com/spreadsheets/d/1XL5vhW3sbDhbH9Cz0tuDiY8C3ctxq1tqvaCgkFb8cCA/edit?usp=sharing"",""หนองบัวลำภู!I520"")"),0)</f>
        <v>0</v>
      </c>
      <c r="J625" s="189">
        <f ca="1">IFERROR(__xludf.DUMMYFUNCTION("IMPORTRANGE(""https://docs.google.com/spreadsheets/d/1XL5vhW3sbDhbH9Cz0tuDiY8C3ctxq1tqvaCgkFb8cCA/edit?usp=sharing"",""หนองบัวลำภู!J520"")"),0)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IFERROR(__xludf.DUMMYFUNCTION("IMPORTRANGE(""https://docs.google.com/spreadsheets/d/1XL5vhW3sbDhbH9Cz0tuDiY8C3ctxq1tqvaCgkFb8cCA/edit?usp=sharing"",""หนองบัวลำภู!I521"")"),0)</f>
        <v>0</v>
      </c>
      <c r="J626" s="189">
        <f ca="1">IFERROR(__xludf.DUMMYFUNCTION("IMPORTRANGE(""https://docs.google.com/spreadsheets/d/1XL5vhW3sbDhbH9Cz0tuDiY8C3ctxq1tqvaCgkFb8cCA/edit?usp=sharing"",""หนองบัวลำภู!J521"")"),0)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IFERROR(__xludf.DUMMYFUNCTION("IMPORTRANGE(""https://docs.google.com/spreadsheets/d/1XL5vhW3sbDhbH9Cz0tuDiY8C3ctxq1tqvaCgkFb8cCA/edit?usp=sharing"",""หนองบัวลำภู!I523"")"),3904564.84)</f>
        <v>3904564.84</v>
      </c>
      <c r="J628" s="341">
        <f ca="1">IFERROR(__xludf.DUMMYFUNCTION("IMPORTRANGE(""https://docs.google.com/spreadsheets/d/1XL5vhW3sbDhbH9Cz0tuDiY8C3ctxq1tqvaCgkFb8cCA/edit?usp=sharing"",""หนองบัวลำภู!J523"")"),2597056.1)</f>
        <v>2597056.1</v>
      </c>
      <c r="K628" s="342">
        <f t="shared" ref="K628:K635" ca="1" si="129">IF(I628&gt;0,J628*100/I628,0)</f>
        <v>66.513330074446912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IFERROR(__xludf.DUMMYFUNCTION("IMPORTRANGE(""https://docs.google.com/spreadsheets/d/1XL5vhW3sbDhbH9Cz0tuDiY8C3ctxq1tqvaCgkFb8cCA/edit?usp=sharing"",""หนองบัวลำภู!I524"")"),256)</f>
        <v>256</v>
      </c>
      <c r="J629" s="341">
        <f ca="1">IFERROR(__xludf.DUMMYFUNCTION("IMPORTRANGE(""https://docs.google.com/spreadsheets/d/1XL5vhW3sbDhbH9Cz0tuDiY8C3ctxq1tqvaCgkFb8cCA/edit?usp=sharing"",""หนองบัวลำภู!J524"")"),165)</f>
        <v>165</v>
      </c>
      <c r="K629" s="342">
        <f t="shared" ca="1" si="129"/>
        <v>64.453125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IFERROR(__xludf.DUMMYFUNCTION("IMPORTRANGE(""https://docs.google.com/spreadsheets/d/1XL5vhW3sbDhbH9Cz0tuDiY8C3ctxq1tqvaCgkFb8cCA/edit?usp=sharing"",""หนองบัวลำภู!I525"")"),2880373.47)</f>
        <v>2880373.47</v>
      </c>
      <c r="J630" s="341">
        <f ca="1">IFERROR(__xludf.DUMMYFUNCTION("IMPORTRANGE(""https://docs.google.com/spreadsheets/d/1XL5vhW3sbDhbH9Cz0tuDiY8C3ctxq1tqvaCgkFb8cCA/edit?usp=sharing"",""หนองบัวลำภู!J525"")"),563041.17)</f>
        <v>563041.17000000004</v>
      </c>
      <c r="K630" s="342">
        <f t="shared" ca="1" si="129"/>
        <v>19.547505761466411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IFERROR(__xludf.DUMMYFUNCTION("IMPORTRANGE(""https://docs.google.com/spreadsheets/d/1XL5vhW3sbDhbH9Cz0tuDiY8C3ctxq1tqvaCgkFb8cCA/edit?usp=sharing"",""หนองบัวลำภู!I526"")"),132)</f>
        <v>132</v>
      </c>
      <c r="J631" s="341">
        <f ca="1">IFERROR(__xludf.DUMMYFUNCTION("IMPORTRANGE(""https://docs.google.com/spreadsheets/d/1XL5vhW3sbDhbH9Cz0tuDiY8C3ctxq1tqvaCgkFb8cCA/edit?usp=sharing"",""หนองบัวลำภู!J526"")"),97)</f>
        <v>97</v>
      </c>
      <c r="K631" s="342">
        <f t="shared" ca="1" si="129"/>
        <v>73.484848484848484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IFERROR(__xludf.DUMMYFUNCTION("IMPORTRANGE(""https://docs.google.com/spreadsheets/d/1XL5vhW3sbDhbH9Cz0tuDiY8C3ctxq1tqvaCgkFb8cCA/edit?usp=sharing"",""หนองบัวลำภู!I527"")"),0)</f>
        <v>0</v>
      </c>
      <c r="J632" s="341">
        <f ca="1">IFERROR(__xludf.DUMMYFUNCTION("IMPORTRANGE(""https://docs.google.com/spreadsheets/d/1XL5vhW3sbDhbH9Cz0tuDiY8C3ctxq1tqvaCgkFb8cCA/edit?usp=sharing"",""หนองบัวลำภู!J527"")"),0)</f>
        <v>0</v>
      </c>
      <c r="K632" s="342">
        <f t="shared" ca="1" si="129"/>
        <v>0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IFERROR(__xludf.DUMMYFUNCTION("IMPORTRANGE(""https://docs.google.com/spreadsheets/d/1XL5vhW3sbDhbH9Cz0tuDiY8C3ctxq1tqvaCgkFb8cCA/edit?usp=sharing"",""หนองบัวลำภู!I528"")"),0)</f>
        <v>0</v>
      </c>
      <c r="J633" s="341">
        <f ca="1">IFERROR(__xludf.DUMMYFUNCTION("IMPORTRANGE(""https://docs.google.com/spreadsheets/d/1XL5vhW3sbDhbH9Cz0tuDiY8C3ctxq1tqvaCgkFb8cCA/edit?usp=sharing"",""หนองบัวลำภู!J528"")"),0)</f>
        <v>0</v>
      </c>
      <c r="K633" s="342">
        <f t="shared" ca="1" si="129"/>
        <v>0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IFERROR(__xludf.DUMMYFUNCTION("IMPORTRANGE(""https://docs.google.com/spreadsheets/d/1XL5vhW3sbDhbH9Cz0tuDiY8C3ctxq1tqvaCgkFb8cCA/edit?usp=sharing"",""หนองบัวลำภู!I529"")"),2000000)</f>
        <v>2000000</v>
      </c>
      <c r="J634" s="341">
        <f ca="1">IFERROR(__xludf.DUMMYFUNCTION("IMPORTRANGE(""https://docs.google.com/spreadsheets/d/1XL5vhW3sbDhbH9Cz0tuDiY8C3ctxq1tqvaCgkFb8cCA/edit?usp=sharing"",""หนองบัวลำภู!J529"")"),1820000)</f>
        <v>1820000</v>
      </c>
      <c r="K634" s="342">
        <f t="shared" ca="1" si="129"/>
        <v>91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IFERROR(__xludf.DUMMYFUNCTION("IMPORTRANGE(""https://docs.google.com/spreadsheets/d/1XL5vhW3sbDhbH9Cz0tuDiY8C3ctxq1tqvaCgkFb8cCA/edit?usp=sharing"",""หนองบัวลำภู!I530"")"),67)</f>
        <v>67</v>
      </c>
      <c r="J635" s="504">
        <f ca="1">IFERROR(__xludf.DUMMYFUNCTION("IMPORTRANGE(""https://docs.google.com/spreadsheets/d/1XL5vhW3sbDhbH9Cz0tuDiY8C3ctxq1tqvaCgkFb8cCA/edit?usp=sharing"",""หนองบัวลำภู!J530"")"),50)</f>
        <v>50</v>
      </c>
      <c r="K635" s="486">
        <f t="shared" ca="1" si="129"/>
        <v>74.626865671641795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49" t="s">
        <v>237</v>
      </c>
      <c r="F636" s="549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12" sqref="J12"/>
      <selection pane="bottomLeft" activeCell="G567" sqref="G567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56" t="s">
        <v>0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</row>
    <row r="2" spans="1:16" ht="18" customHeight="1" x14ac:dyDescent="0.35">
      <c r="A2" s="556" t="s">
        <v>272</v>
      </c>
      <c r="B2" s="556"/>
      <c r="C2" s="556"/>
      <c r="D2" s="556"/>
      <c r="E2" s="556"/>
      <c r="F2" s="556"/>
      <c r="G2" s="556"/>
      <c r="H2" s="556"/>
      <c r="I2" s="556"/>
      <c r="J2" s="556"/>
      <c r="K2" s="556"/>
      <c r="L2" s="556"/>
      <c r="M2" s="556"/>
      <c r="N2" s="556"/>
      <c r="O2" s="556"/>
      <c r="P2" s="556"/>
    </row>
    <row r="3" spans="1:16" ht="18" customHeight="1" x14ac:dyDescent="0.35">
      <c r="A3" s="556" t="s">
        <v>278</v>
      </c>
      <c r="B3" s="556"/>
      <c r="C3" s="556"/>
      <c r="D3" s="556"/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6"/>
      <c r="P3" s="55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79" t="s">
        <v>2</v>
      </c>
      <c r="B5" s="565"/>
      <c r="C5" s="565"/>
      <c r="D5" s="565"/>
      <c r="E5" s="565"/>
      <c r="F5" s="565"/>
      <c r="G5" s="566"/>
      <c r="H5" s="578" t="s">
        <v>3</v>
      </c>
      <c r="I5" s="559" t="s">
        <v>4</v>
      </c>
      <c r="J5" s="560"/>
      <c r="K5" s="561"/>
      <c r="L5" s="562" t="s">
        <v>5</v>
      </c>
      <c r="M5" s="561"/>
      <c r="N5" s="563" t="s">
        <v>6</v>
      </c>
      <c r="O5" s="560"/>
      <c r="P5" s="561"/>
    </row>
    <row r="6" spans="1:16" ht="21.75" customHeight="1" x14ac:dyDescent="0.35">
      <c r="A6" s="567"/>
      <c r="B6" s="568"/>
      <c r="C6" s="568"/>
      <c r="D6" s="568"/>
      <c r="E6" s="568"/>
      <c r="F6" s="568"/>
      <c r="G6" s="569"/>
      <c r="H6" s="55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80" t="s">
        <v>15</v>
      </c>
      <c r="B7" s="560"/>
      <c r="C7" s="560"/>
      <c r="D7" s="560"/>
      <c r="E7" s="560"/>
      <c r="F7" s="560"/>
      <c r="G7" s="561"/>
      <c r="H7" s="512"/>
      <c r="I7" s="513"/>
      <c r="J7" s="513"/>
      <c r="K7" s="514"/>
      <c r="L7" s="515"/>
      <c r="M7" s="514"/>
      <c r="N7" s="515"/>
      <c r="O7" s="516"/>
      <c r="P7" s="516"/>
    </row>
    <row r="8" spans="1:16" ht="21.75" customHeight="1" x14ac:dyDescent="0.45">
      <c r="A8" s="17"/>
      <c r="B8" s="18"/>
      <c r="C8" s="19" t="s">
        <v>16</v>
      </c>
      <c r="D8" s="571" t="s">
        <v>17</v>
      </c>
      <c r="E8" s="555"/>
      <c r="F8" s="555"/>
      <c r="G8" s="555"/>
      <c r="H8" s="20" t="s">
        <v>12</v>
      </c>
      <c r="I8" s="21"/>
      <c r="J8" s="21"/>
      <c r="K8" s="22"/>
      <c r="L8" s="23">
        <f t="shared" ref="L8:N8" ca="1" si="0">L9+L10</f>
        <v>4117484</v>
      </c>
      <c r="M8" s="23">
        <f t="shared" ca="1" si="0"/>
        <v>2080275</v>
      </c>
      <c r="N8" s="23">
        <f t="shared" ca="1" si="0"/>
        <v>1657786.6600000001</v>
      </c>
      <c r="O8" s="22">
        <f t="shared" ref="O8:O16" ca="1" si="1">IF(L8&gt;0,N8*100/L8,0)</f>
        <v>40.262127551679619</v>
      </c>
      <c r="P8" s="22">
        <f t="shared" ref="P8:P16" ca="1" si="2">IF(M8&gt;0,N8*100/M8,0)</f>
        <v>79.690745694679791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4117484</v>
      </c>
      <c r="M10" s="30">
        <f t="shared" ca="1" si="4"/>
        <v>2080275</v>
      </c>
      <c r="N10" s="30">
        <f t="shared" ca="1" si="4"/>
        <v>1657786.6600000001</v>
      </c>
      <c r="O10" s="29">
        <f t="shared" ca="1" si="1"/>
        <v>40.262127551679619</v>
      </c>
      <c r="P10" s="29">
        <f t="shared" ca="1" si="2"/>
        <v>79.690745694679791</v>
      </c>
    </row>
    <row r="11" spans="1:16" ht="21.75" customHeight="1" x14ac:dyDescent="0.45">
      <c r="A11" s="31"/>
      <c r="B11" s="32"/>
      <c r="C11" s="33" t="s">
        <v>16</v>
      </c>
      <c r="D11" s="572" t="s">
        <v>20</v>
      </c>
      <c r="E11" s="553"/>
      <c r="F11" s="55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4080984</v>
      </c>
      <c r="M12" s="38">
        <f t="shared" ca="1" si="6"/>
        <v>2043775</v>
      </c>
      <c r="N12" s="38">
        <f t="shared" ca="1" si="6"/>
        <v>1621286.6600000001</v>
      </c>
      <c r="O12" s="38">
        <f t="shared" ca="1" si="1"/>
        <v>39.727836717811194</v>
      </c>
      <c r="P12" s="38">
        <f t="shared" ca="1" si="2"/>
        <v>79.32804051326589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1759000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2321984</v>
      </c>
      <c r="M14" s="38">
        <f t="shared" si="8"/>
        <v>0</v>
      </c>
      <c r="N14" s="38">
        <f t="shared" ca="1" si="8"/>
        <v>486039</v>
      </c>
      <c r="O14" s="38">
        <f t="shared" ca="1" si="1"/>
        <v>20.932056379372124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2" t="s">
        <v>23</v>
      </c>
      <c r="E15" s="55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36500</v>
      </c>
      <c r="M16" s="38">
        <f t="shared" ca="1" si="10"/>
        <v>36500</v>
      </c>
      <c r="N16" s="38">
        <f t="shared" ca="1" si="10"/>
        <v>36500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80" t="s">
        <v>24</v>
      </c>
      <c r="B17" s="560"/>
      <c r="C17" s="560"/>
      <c r="D17" s="560"/>
      <c r="E17" s="560"/>
      <c r="F17" s="560"/>
      <c r="G17" s="561"/>
      <c r="H17" s="512"/>
      <c r="I17" s="513"/>
      <c r="J17" s="513"/>
      <c r="K17" s="514"/>
      <c r="L17" s="515"/>
      <c r="M17" s="514"/>
      <c r="N17" s="515"/>
      <c r="O17" s="516"/>
      <c r="P17" s="516"/>
    </row>
    <row r="18" spans="1:16" ht="21.75" customHeight="1" x14ac:dyDescent="0.45">
      <c r="A18" s="17"/>
      <c r="B18" s="18"/>
      <c r="C18" s="19" t="s">
        <v>16</v>
      </c>
      <c r="D18" s="571" t="s">
        <v>17</v>
      </c>
      <c r="E18" s="555"/>
      <c r="F18" s="555"/>
      <c r="G18" s="555"/>
      <c r="H18" s="20" t="s">
        <v>12</v>
      </c>
      <c r="I18" s="21"/>
      <c r="J18" s="21"/>
      <c r="K18" s="22"/>
      <c r="L18" s="23">
        <f t="shared" ref="L18:N18" ca="1" si="11">L19+L20</f>
        <v>2716140</v>
      </c>
      <c r="M18" s="23">
        <f t="shared" ca="1" si="11"/>
        <v>2080275</v>
      </c>
      <c r="N18" s="23">
        <f t="shared" ca="1" si="11"/>
        <v>1171747.6600000001</v>
      </c>
      <c r="O18" s="22">
        <f t="shared" ref="O18:O20" ca="1" si="12">IF(L18&gt;0,N18*100/L18,0)</f>
        <v>43.140179077661685</v>
      </c>
      <c r="P18" s="22">
        <f t="shared" ref="P18:P26" ca="1" si="13">IF(M18&gt;0,N18*100/M18,0)</f>
        <v>56.326575092235409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2716140</v>
      </c>
      <c r="M20" s="30">
        <f t="shared" ca="1" si="15"/>
        <v>2080275</v>
      </c>
      <c r="N20" s="30">
        <f t="shared" ca="1" si="15"/>
        <v>1171747.6600000001</v>
      </c>
      <c r="O20" s="29">
        <f t="shared" ca="1" si="12"/>
        <v>43.140179077661685</v>
      </c>
      <c r="P20" s="29">
        <f t="shared" ca="1" si="13"/>
        <v>56.326575092235409</v>
      </c>
    </row>
    <row r="21" spans="1:16" ht="21.75" customHeight="1" x14ac:dyDescent="0.45">
      <c r="A21" s="31"/>
      <c r="B21" s="32"/>
      <c r="C21" s="33" t="s">
        <v>16</v>
      </c>
      <c r="D21" s="572" t="s">
        <v>20</v>
      </c>
      <c r="E21" s="553"/>
      <c r="F21" s="55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2679640</v>
      </c>
      <c r="M22" s="41">
        <f t="shared" ca="1" si="18"/>
        <v>2043775</v>
      </c>
      <c r="N22" s="38">
        <f t="shared" ca="1" si="18"/>
        <v>1135247.6600000001</v>
      </c>
      <c r="O22" s="38">
        <f t="shared" ca="1" si="17"/>
        <v>42.365678225433271</v>
      </c>
      <c r="P22" s="38">
        <f t="shared" ca="1" si="13"/>
        <v>55.546606647013498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1759000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920640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2" t="s">
        <v>23</v>
      </c>
      <c r="E25" s="55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36500</v>
      </c>
      <c r="M26" s="49">
        <f t="shared" ca="1" si="22"/>
        <v>36500</v>
      </c>
      <c r="N26" s="49">
        <f t="shared" ca="1" si="22"/>
        <v>36500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80" t="s">
        <v>25</v>
      </c>
      <c r="B27" s="560"/>
      <c r="C27" s="560"/>
      <c r="D27" s="560"/>
      <c r="E27" s="560"/>
      <c r="F27" s="560"/>
      <c r="G27" s="561"/>
      <c r="H27" s="512"/>
      <c r="I27" s="513"/>
      <c r="J27" s="513"/>
      <c r="K27" s="514"/>
      <c r="L27" s="515"/>
      <c r="M27" s="514"/>
      <c r="N27" s="515"/>
      <c r="O27" s="516"/>
      <c r="P27" s="516"/>
    </row>
    <row r="28" spans="1:16" ht="21.75" customHeight="1" x14ac:dyDescent="0.45">
      <c r="A28" s="17"/>
      <c r="B28" s="18"/>
      <c r="C28" s="19" t="s">
        <v>16</v>
      </c>
      <c r="D28" s="571" t="s">
        <v>17</v>
      </c>
      <c r="E28" s="555"/>
      <c r="F28" s="555"/>
      <c r="G28" s="555"/>
      <c r="H28" s="20" t="s">
        <v>12</v>
      </c>
      <c r="I28" s="21"/>
      <c r="J28" s="21"/>
      <c r="K28" s="22"/>
      <c r="L28" s="23">
        <f t="shared" ref="L28:N28" ca="1" si="23">L29+L30</f>
        <v>1401344</v>
      </c>
      <c r="M28" s="23">
        <f t="shared" si="23"/>
        <v>0</v>
      </c>
      <c r="N28" s="23">
        <f t="shared" ca="1" si="23"/>
        <v>486039</v>
      </c>
      <c r="O28" s="22">
        <f t="shared" ref="O28:O30" ca="1" si="24">IF(L28&gt;0,N28*100/L28,0)</f>
        <v>34.683775004567046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1401344</v>
      </c>
      <c r="M30" s="30">
        <f t="shared" si="27"/>
        <v>0</v>
      </c>
      <c r="N30" s="30">
        <f t="shared" ca="1" si="27"/>
        <v>486039</v>
      </c>
      <c r="O30" s="29">
        <f t="shared" ca="1" si="24"/>
        <v>34.683775004567046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2" t="s">
        <v>20</v>
      </c>
      <c r="E31" s="553"/>
      <c r="F31" s="55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1401344</v>
      </c>
      <c r="M32" s="38">
        <f t="shared" si="30"/>
        <v>0</v>
      </c>
      <c r="N32" s="38">
        <f t="shared" ca="1" si="30"/>
        <v>486039</v>
      </c>
      <c r="O32" s="38">
        <f t="shared" ca="1" si="29"/>
        <v>34.683775004567046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1401344</v>
      </c>
      <c r="M34" s="38">
        <f t="shared" si="32"/>
        <v>0</v>
      </c>
      <c r="N34" s="38">
        <f t="shared" ca="1" si="32"/>
        <v>486039</v>
      </c>
      <c r="O34" s="38">
        <f t="shared" ca="1" si="29"/>
        <v>34.683775004567046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2" t="s">
        <v>23</v>
      </c>
      <c r="E35" s="55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2716140</v>
      </c>
      <c r="M37" s="54">
        <f t="shared" ca="1" si="33"/>
        <v>2080275</v>
      </c>
      <c r="N37" s="54">
        <f t="shared" ca="1" si="33"/>
        <v>1171747.6600000001</v>
      </c>
      <c r="O37" s="55">
        <f t="shared" ca="1" si="29"/>
        <v>43.140179077661685</v>
      </c>
      <c r="P37" s="55">
        <f t="shared" ca="1" si="25"/>
        <v>56.326575092235409</v>
      </c>
    </row>
    <row r="38" spans="1:16" ht="21.75" customHeight="1" x14ac:dyDescent="0.45">
      <c r="A38" s="581" t="s">
        <v>27</v>
      </c>
      <c r="B38" s="560"/>
      <c r="C38" s="560"/>
      <c r="D38" s="560"/>
      <c r="E38" s="560"/>
      <c r="F38" s="560"/>
      <c r="G38" s="561"/>
      <c r="H38" s="517"/>
      <c r="I38" s="518"/>
      <c r="J38" s="518"/>
      <c r="K38" s="519"/>
      <c r="L38" s="520"/>
      <c r="M38" s="520"/>
      <c r="N38" s="520"/>
      <c r="O38" s="520"/>
      <c r="P38" s="520"/>
    </row>
    <row r="39" spans="1:16" ht="21.75" customHeight="1" x14ac:dyDescent="0.45">
      <c r="A39" s="521"/>
      <c r="B39" s="582" t="s">
        <v>28</v>
      </c>
      <c r="C39" s="555"/>
      <c r="D39" s="555"/>
      <c r="E39" s="555"/>
      <c r="F39" s="555"/>
      <c r="G39" s="555"/>
      <c r="H39" s="522"/>
      <c r="I39" s="523"/>
      <c r="J39" s="523"/>
      <c r="K39" s="524"/>
      <c r="L39" s="525"/>
      <c r="M39" s="525"/>
      <c r="N39" s="525"/>
      <c r="O39" s="524"/>
      <c r="P39" s="524"/>
    </row>
    <row r="40" spans="1:16" ht="21.75" customHeight="1" x14ac:dyDescent="0.45">
      <c r="A40" s="526"/>
      <c r="B40" s="527" t="s">
        <v>29</v>
      </c>
      <c r="C40" s="528"/>
      <c r="D40" s="528"/>
      <c r="E40" s="528"/>
      <c r="F40" s="528"/>
      <c r="G40" s="528"/>
      <c r="H40" s="529"/>
      <c r="I40" s="530"/>
      <c r="J40" s="530"/>
      <c r="K40" s="531"/>
      <c r="L40" s="532"/>
      <c r="M40" s="532"/>
      <c r="N40" s="532"/>
      <c r="O40" s="531"/>
      <c r="P40" s="531"/>
    </row>
    <row r="41" spans="1:16" ht="21.75" customHeight="1" x14ac:dyDescent="0.45">
      <c r="A41" s="72"/>
      <c r="B41" s="73"/>
      <c r="C41" s="74" t="s">
        <v>16</v>
      </c>
      <c r="D41" s="575" t="s">
        <v>17</v>
      </c>
      <c r="E41" s="553"/>
      <c r="F41" s="553"/>
      <c r="G41" s="553"/>
      <c r="H41" s="75" t="s">
        <v>12</v>
      </c>
      <c r="I41" s="76"/>
      <c r="J41" s="76"/>
      <c r="K41" s="77"/>
      <c r="L41" s="78">
        <f t="shared" ref="L41:N41" ca="1" si="34">L42+L43</f>
        <v>659100</v>
      </c>
      <c r="M41" s="78">
        <f t="shared" ca="1" si="34"/>
        <v>494300</v>
      </c>
      <c r="N41" s="78">
        <f t="shared" ca="1" si="34"/>
        <v>320711.38</v>
      </c>
      <c r="O41" s="77">
        <f t="shared" ref="O41:O43" ca="1" si="35">IF(L41&gt;0,N41*100/L41,0)</f>
        <v>48.658986496737974</v>
      </c>
      <c r="P41" s="77">
        <f t="shared" ref="P41:P43" ca="1" si="36">IF(M41&gt;0,N41*100/M41,0)</f>
        <v>64.881930002023068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659100</v>
      </c>
      <c r="M43" s="78">
        <f t="shared" ca="1" si="38"/>
        <v>494300</v>
      </c>
      <c r="N43" s="78">
        <f t="shared" ca="1" si="38"/>
        <v>320711.38</v>
      </c>
      <c r="O43" s="77">
        <f t="shared" ca="1" si="35"/>
        <v>48.658986496737974</v>
      </c>
      <c r="P43" s="77">
        <f t="shared" ca="1" si="36"/>
        <v>64.881930002023068</v>
      </c>
    </row>
    <row r="44" spans="1:16" ht="21.75" customHeight="1" x14ac:dyDescent="0.45">
      <c r="A44" s="79"/>
      <c r="B44" s="80"/>
      <c r="C44" s="81" t="s">
        <v>16</v>
      </c>
      <c r="D44" s="552" t="s">
        <v>20</v>
      </c>
      <c r="E44" s="553"/>
      <c r="F44" s="55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659100</v>
      </c>
      <c r="M45" s="533">
        <f ca="1">IFERROR(__xludf.DUMMYFUNCTION("IMPORTRANGE(""https://docs.google.com/spreadsheets/d/1Yj_ptqi66GCucihVvJfMjLAmec39IyEx_6qawtMGysU/edit?usp=sharing"",""สบก!Q55"")"),494300)</f>
        <v>494300</v>
      </c>
      <c r="N45" s="533">
        <f ca="1">IFERROR(__xludf.DUMMYFUNCTION("IMPORTRANGE(""https://docs.google.com/spreadsheets/d/1Yj_ptqi66GCucihVvJfMjLAmec39IyEx_6qawtMGysU/edit?usp=sharing"",""สบก!R55"")"),320711.38)</f>
        <v>320711.38</v>
      </c>
      <c r="O45" s="534">
        <f ca="1">IF(L45&gt;0,N45*100/L45,0)</f>
        <v>48.658986496737974</v>
      </c>
      <c r="P45" s="534">
        <f ca="1">IF(M45&gt;0,N45*100/M45,0)</f>
        <v>64.881930002023068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533">
        <f ca="1">IFERROR(__xludf.DUMMYFUNCTION("IMPORTRANGE(""https://docs.google.com/spreadsheets/d/1Yj_ptqi66GCucihVvJfMjLAmec39IyEx_6qawtMGysU/edit?usp=sharing"",""สบก!M55"")"),659100)</f>
        <v>659100</v>
      </c>
      <c r="M46" s="535"/>
      <c r="N46" s="38"/>
      <c r="O46" s="534"/>
      <c r="P46" s="534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533">
        <f ca="1">IFERROR(__xludf.DUMMYFUNCTION("IMPORTRANGE(""https://docs.google.com/spreadsheets/d/1Yj_ptqi66GCucihVvJfMjLAmec39IyEx_6qawtMGysU/edit?usp=sharing"",""สบก!N55"")"),0)</f>
        <v>0</v>
      </c>
      <c r="M47" s="535"/>
      <c r="N47" s="38"/>
      <c r="O47" s="534"/>
      <c r="P47" s="534"/>
    </row>
    <row r="48" spans="1:16" ht="21.75" customHeight="1" x14ac:dyDescent="0.45">
      <c r="A48" s="79"/>
      <c r="B48" s="80"/>
      <c r="C48" s="81" t="s">
        <v>16</v>
      </c>
      <c r="D48" s="552" t="s">
        <v>23</v>
      </c>
      <c r="E48" s="55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535"/>
      <c r="N48" s="41"/>
      <c r="O48" s="535"/>
      <c r="P48" s="535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33">
        <f ca="1">IFERROR(__xludf.DUMMYFUNCTION("IMPORTRANGE(""https://docs.google.com/spreadsheets/d/1Yj_ptqi66GCucihVvJfMjLAmec39IyEx_6qawtMGysU/edit?usp=sharing"",""สบก!O55"")"),0)</f>
        <v>0</v>
      </c>
      <c r="M49" s="536"/>
      <c r="N49" s="533">
        <f ca="1">IFERROR(__xludf.DUMMYFUNCTION("IMPORTRANGE(""https://docs.google.com/spreadsheets/d/1Yj_ptqi66GCucihVvJfMjLAmec39IyEx_6qawtMGysU/edit?usp=sharing"",""สบก!S55"")"),0)</f>
        <v>0</v>
      </c>
      <c r="O49" s="536">
        <f ca="1">IF(L49&gt;0,N49*100/L49,0)</f>
        <v>0</v>
      </c>
      <c r="P49" s="536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76" t="s">
        <v>32</v>
      </c>
      <c r="C52" s="553"/>
      <c r="D52" s="553"/>
      <c r="E52" s="553"/>
      <c r="F52" s="553"/>
      <c r="G52" s="55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77" t="s">
        <v>17</v>
      </c>
      <c r="E53" s="553"/>
      <c r="F53" s="553"/>
      <c r="G53" s="553"/>
      <c r="H53" s="118" t="s">
        <v>12</v>
      </c>
      <c r="I53" s="119"/>
      <c r="J53" s="119"/>
      <c r="K53" s="120"/>
      <c r="L53" s="121">
        <f t="shared" ref="L53:N53" ca="1" si="39">L54+L55</f>
        <v>482400</v>
      </c>
      <c r="M53" s="121">
        <f t="shared" ca="1" si="39"/>
        <v>361800</v>
      </c>
      <c r="N53" s="121">
        <f t="shared" ca="1" si="39"/>
        <v>212038</v>
      </c>
      <c r="O53" s="120">
        <f t="shared" ref="O53:O55" ca="1" si="40">IF(L53&gt;0,N53*100/L53,0)</f>
        <v>43.954809286898836</v>
      </c>
      <c r="P53" s="120">
        <f t="shared" ref="P53:P55" ca="1" si="41">IF(M53&gt;0,N53*100/M53,0)</f>
        <v>58.606412382531786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482400</v>
      </c>
      <c r="M55" s="121">
        <f t="shared" ca="1" si="43"/>
        <v>361800</v>
      </c>
      <c r="N55" s="121">
        <f t="shared" ca="1" si="43"/>
        <v>212038</v>
      </c>
      <c r="O55" s="120">
        <f t="shared" ca="1" si="40"/>
        <v>43.954809286898836</v>
      </c>
      <c r="P55" s="120">
        <f t="shared" ca="1" si="41"/>
        <v>58.606412382531786</v>
      </c>
    </row>
    <row r="56" spans="1:16" ht="21.75" customHeight="1" x14ac:dyDescent="0.45">
      <c r="A56" s="79"/>
      <c r="B56" s="80"/>
      <c r="C56" s="81" t="s">
        <v>16</v>
      </c>
      <c r="D56" s="552" t="s">
        <v>20</v>
      </c>
      <c r="E56" s="553"/>
      <c r="F56" s="55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482400</v>
      </c>
      <c r="M57" s="533">
        <f ca="1">IFERROR(__xludf.DUMMYFUNCTION("IMPORTRANGE(""https://docs.google.com/spreadsheets/d/1Yj_ptqi66GCucihVvJfMjLAmec39IyEx_6qawtMGysU/edit?usp=sharing"",""สบก!Z55"")"),361800)</f>
        <v>361800</v>
      </c>
      <c r="N57" s="533">
        <f ca="1">IFERROR(__xludf.DUMMYFUNCTION("IMPORTRANGE(""https://docs.google.com/spreadsheets/d/1Yj_ptqi66GCucihVvJfMjLAmec39IyEx_6qawtMGysU/edit?usp=sharing"",""สบก!AA55"")"),212038)</f>
        <v>212038</v>
      </c>
      <c r="O57" s="534">
        <f ca="1">IF(L57&gt;0,N57*100/L57,0)</f>
        <v>43.954809286898836</v>
      </c>
      <c r="P57" s="534">
        <f ca="1">IF(M57&gt;0,N57*100/M57,0)</f>
        <v>58.606412382531786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533">
        <f ca="1">IFERROR(__xludf.DUMMYFUNCTION("IMPORTRANGE(""https://docs.google.com/spreadsheets/d/1Yj_ptqi66GCucihVvJfMjLAmec39IyEx_6qawtMGysU/edit?usp=sharing"",""สบก!V55"")"),482400)</f>
        <v>482400</v>
      </c>
      <c r="M58" s="535"/>
      <c r="N58" s="38"/>
      <c r="O58" s="534"/>
      <c r="P58" s="534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533">
        <f ca="1">IFERROR(__xludf.DUMMYFUNCTION("IMPORTRANGE(""https://docs.google.com/spreadsheets/d/1Yj_ptqi66GCucihVvJfMjLAmec39IyEx_6qawtMGysU/edit?usp=sharing"",""สบก!W55"")"),0)</f>
        <v>0</v>
      </c>
      <c r="M59" s="535"/>
      <c r="N59" s="38"/>
      <c r="O59" s="534"/>
      <c r="P59" s="534"/>
    </row>
    <row r="60" spans="1:16" ht="21.75" customHeight="1" x14ac:dyDescent="0.45">
      <c r="A60" s="79"/>
      <c r="B60" s="80"/>
      <c r="C60" s="81" t="s">
        <v>16</v>
      </c>
      <c r="D60" s="552" t="s">
        <v>23</v>
      </c>
      <c r="E60" s="55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535"/>
      <c r="N60" s="41"/>
      <c r="O60" s="535"/>
      <c r="P60" s="535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33">
        <f ca="1">IFERROR(__xludf.DUMMYFUNCTION("IMPORTRANGE(""https://docs.google.com/spreadsheets/d/1Yj_ptqi66GCucihVvJfMjLAmec39IyEx_6qawtMGysU/edit?usp=sharing"",""สบก!X55"")"),0)</f>
        <v>0</v>
      </c>
      <c r="M61" s="536"/>
      <c r="N61" s="533">
        <f ca="1">IFERROR(__xludf.DUMMYFUNCTION("IMPORTRANGE(""https://docs.google.com/spreadsheets/d/1Yj_ptqi66GCucihVvJfMjLAmec39IyEx_6qawtMGysU/edit?usp=sharing"",""สบก!AB55"")"),0)</f>
        <v>0</v>
      </c>
      <c r="O61" s="536">
        <f ca="1">IF(L61&gt;0,N61*100/L61,0)</f>
        <v>0</v>
      </c>
      <c r="P61" s="536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IFERROR(__xludf.DUMMYFUNCTION("IMPORTRANGE(""https://docs.google.com/spreadsheets/d/1XL5vhW3sbDhbH9Cz0tuDiY8C3ctxq1tqvaCgkFb8cCA/edit?usp=sharing"",""อำนาจเจริญ!I9"")"),1)</f>
        <v>1</v>
      </c>
      <c r="J64" s="142">
        <f ca="1">IFERROR(__xludf.DUMMYFUNCTION("IMPORTRANGE(""https://docs.google.com/spreadsheets/d/1XL5vhW3sbDhbH9Cz0tuDiY8C3ctxq1tqvaCgkFb8cCA/edit?usp=sharing"",""อำนาจเจริญ!J9"")"),1)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IFERROR(__xludf.DUMMYFUNCTION("IMPORTRANGE(""https://docs.google.com/spreadsheets/d/1XL5vhW3sbDhbH9Cz0tuDiY8C3ctxq1tqvaCgkFb8cCA/edit?usp=sharing"",""อำนาจเจริญ!I10"")"),48)</f>
        <v>48</v>
      </c>
      <c r="J65" s="142">
        <f ca="1">IFERROR(__xludf.DUMMYFUNCTION("IMPORTRANGE(""https://docs.google.com/spreadsheets/d/1XL5vhW3sbDhbH9Cz0tuDiY8C3ctxq1tqvaCgkFb8cCA/edit?usp=sharing"",""อำนาจเจริญ!J10"")"),48)</f>
        <v>48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54" t="s">
        <v>17</v>
      </c>
      <c r="E66" s="555"/>
      <c r="F66" s="555"/>
      <c r="G66" s="555"/>
      <c r="H66" s="149" t="s">
        <v>12</v>
      </c>
      <c r="I66" s="150"/>
      <c r="J66" s="150"/>
      <c r="K66" s="151"/>
      <c r="L66" s="152">
        <f t="shared" ref="L66:N66" ca="1" si="45">L67+L68</f>
        <v>777100</v>
      </c>
      <c r="M66" s="152">
        <f t="shared" ca="1" si="45"/>
        <v>636820</v>
      </c>
      <c r="N66" s="152">
        <f t="shared" ca="1" si="45"/>
        <v>220373.28</v>
      </c>
      <c r="O66" s="151">
        <f t="shared" ref="O66:O68" ca="1" si="46">IF(L66&gt;0,N66*100/L66,0)</f>
        <v>28.358419765795908</v>
      </c>
      <c r="P66" s="151">
        <f t="shared" ref="P66:P68" ca="1" si="47">IF(M66&gt;0,N66*100/M66,0)</f>
        <v>34.605269934989479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777100</v>
      </c>
      <c r="M68" s="157">
        <f t="shared" ca="1" si="49"/>
        <v>636820</v>
      </c>
      <c r="N68" s="157">
        <f t="shared" ca="1" si="49"/>
        <v>220373.28</v>
      </c>
      <c r="O68" s="156">
        <f t="shared" ca="1" si="46"/>
        <v>28.358419765795908</v>
      </c>
      <c r="P68" s="156">
        <f t="shared" ca="1" si="47"/>
        <v>34.605269934989479</v>
      </c>
    </row>
    <row r="69" spans="1:16" ht="21.75" customHeight="1" x14ac:dyDescent="0.45">
      <c r="A69" s="158"/>
      <c r="B69" s="159"/>
      <c r="C69" s="159" t="s">
        <v>16</v>
      </c>
      <c r="D69" s="552" t="s">
        <v>20</v>
      </c>
      <c r="E69" s="553"/>
      <c r="F69" s="55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777100</v>
      </c>
      <c r="M70" s="537">
        <f ca="1">IFERROR(__xludf.DUMMYFUNCTION("IMPORTRANGE(""https://docs.google.com/spreadsheets/d/1Yj_ptqi66GCucihVvJfMjLAmec39IyEx_6qawtMGysU/edit?usp=sharing"",""สบก!AI55"")"),636820)</f>
        <v>636820</v>
      </c>
      <c r="N70" s="538">
        <f ca="1">IFERROR(__xludf.DUMMYFUNCTION("IMPORTRANGE(""https://docs.google.com/spreadsheets/d/1Yj_ptqi66GCucihVvJfMjLAmec39IyEx_6qawtMGysU/edit?usp=sharing"",""สบก!AJ55"")"),220373.28)</f>
        <v>220373.28</v>
      </c>
      <c r="O70" s="169">
        <f ca="1">IF(L70&gt;0,N70*100/L70,0)</f>
        <v>28.358419765795908</v>
      </c>
      <c r="P70" s="169">
        <f ca="1">IF(M70&gt;0,N70*100/M70,0)</f>
        <v>34.605269934989479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537">
        <f ca="1">IFERROR(__xludf.DUMMYFUNCTION("IMPORTRANGE(""https://docs.google.com/spreadsheets/d/1Yj_ptqi66GCucihVvJfMjLAmec39IyEx_6qawtMGysU/edit?usp=sharing"",""สบก!AE55"")"),311500)</f>
        <v>311500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537">
        <f ca="1">IFERROR(__xludf.DUMMYFUNCTION("IMPORTRANGE(""https://docs.google.com/spreadsheets/d/1Yj_ptqi66GCucihVvJfMjLAmec39IyEx_6qawtMGysU/edit?usp=sharing"",""สบก!AF55"")"),465600)</f>
        <v>465600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52" t="s">
        <v>23</v>
      </c>
      <c r="E73" s="553"/>
      <c r="F73" s="89"/>
      <c r="G73" s="82" t="s">
        <v>18</v>
      </c>
      <c r="H73" s="172" t="s">
        <v>12</v>
      </c>
      <c r="I73" s="84"/>
      <c r="J73" s="84"/>
      <c r="K73" s="85"/>
      <c r="L73" s="535">
        <v>0</v>
      </c>
      <c r="M73" s="535"/>
      <c r="N73" s="41"/>
      <c r="O73" s="535"/>
      <c r="P73" s="535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533">
        <f ca="1">IFERROR(__xludf.DUMMYFUNCTION("IMPORTRANGE(""https://docs.google.com/spreadsheets/d/1Yj_ptqi66GCucihVvJfMjLAmec39IyEx_6qawtMGysU/edit?usp=sharing"",""สบก!AG55"")"),0)</f>
        <v>0</v>
      </c>
      <c r="M74" s="536"/>
      <c r="N74" s="533">
        <f ca="1">IFERROR(__xludf.DUMMYFUNCTION("IMPORTRANGE(""https://docs.google.com/spreadsheets/d/1Yj_ptqi66GCucihVvJfMjLAmec39IyEx_6qawtMGysU/edit?usp=sharing"",""สบก!AK55"")"),0)</f>
        <v>0</v>
      </c>
      <c r="O74" s="536">
        <f ca="1">IF(L74&gt;0,N74*100/L74,0)</f>
        <v>0</v>
      </c>
      <c r="P74" s="536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IFERROR(__xludf.DUMMYFUNCTION("IMPORTRANGE(""https://docs.google.com/spreadsheets/d/1XL5vhW3sbDhbH9Cz0tuDiY8C3ctxq1tqvaCgkFb8cCA/edit?usp=sharing"",""อำนาจเจริญ!J16"")"),0)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IFERROR(__xludf.DUMMYFUNCTION("IMPORTRANGE(""https://docs.google.com/spreadsheets/d/1XL5vhW3sbDhbH9Cz0tuDiY8C3ctxq1tqvaCgkFb8cCA/edit?usp=sharing"",""อำนาจเจริญ!J17"")"),1)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IFERROR(__xludf.DUMMYFUNCTION("IMPORTRANGE(""https://docs.google.com/spreadsheets/d/1XL5vhW3sbDhbH9Cz0tuDiY8C3ctxq1tqvaCgkFb8cCA/edit?usp=sharing"",""อำนาจเจริญ!J18"")"),1)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IFERROR(__xludf.DUMMYFUNCTION("IMPORTRANGE(""https://docs.google.com/spreadsheets/d/1XL5vhW3sbDhbH9Cz0tuDiY8C3ctxq1tqvaCgkFb8cCA/edit?usp=sharing"",""อำนาจเจริญ!J19"")"),1)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IFERROR(__xludf.DUMMYFUNCTION("IMPORTRANGE(""https://docs.google.com/spreadsheets/d/1XL5vhW3sbDhbH9Cz0tuDiY8C3ctxq1tqvaCgkFb8cCA/edit?usp=sharing"",""อำนาจเจริญ!I20"")"),1)</f>
        <v>1</v>
      </c>
      <c r="J80" s="201">
        <f ca="1">IFERROR(__xludf.DUMMYFUNCTION("IMPORTRANGE(""https://docs.google.com/spreadsheets/d/1XL5vhW3sbDhbH9Cz0tuDiY8C3ctxq1tqvaCgkFb8cCA/edit?usp=sharing"",""อำนาจเจริญ!J20"")"),1)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IFERROR(__xludf.DUMMYFUNCTION("IMPORTRANGE(""https://docs.google.com/spreadsheets/d/1XL5vhW3sbDhbH9Cz0tuDiY8C3ctxq1tqvaCgkFb8cCA/edit?usp=sharing"",""อำนาจเจริญ!I21"")"),48)</f>
        <v>48</v>
      </c>
      <c r="J81" s="201">
        <f ca="1">IFERROR(__xludf.DUMMYFUNCTION("IMPORTRANGE(""https://docs.google.com/spreadsheets/d/1XL5vhW3sbDhbH9Cz0tuDiY8C3ctxq1tqvaCgkFb8cCA/edit?usp=sharing"",""อำนาจเจริญ!J21"")"),48)</f>
        <v>48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IFERROR(__xludf.DUMMYFUNCTION("IMPORTRANGE(""https://docs.google.com/spreadsheets/d/1XL5vhW3sbDhbH9Cz0tuDiY8C3ctxq1tqvaCgkFb8cCA/edit?usp=sharing"",""อำนาจเจริญ!I22"")"),0)</f>
        <v>0</v>
      </c>
      <c r="J82" s="204">
        <f ca="1">IFERROR(__xludf.DUMMYFUNCTION("IMPORTRANGE(""https://docs.google.com/spreadsheets/d/1XL5vhW3sbDhbH9Cz0tuDiY8C3ctxq1tqvaCgkFb8cCA/edit?usp=sharing"",""อำนาจเจริญ!J22"")"),0)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IFERROR(__xludf.DUMMYFUNCTION("IMPORTRANGE(""https://docs.google.com/spreadsheets/d/1XL5vhW3sbDhbH9Cz0tuDiY8C3ctxq1tqvaCgkFb8cCA/edit?usp=sharing"",""อำนาจเจริญ!I23"")"),0)</f>
        <v>0</v>
      </c>
      <c r="J83" s="204">
        <f ca="1">IFERROR(__xludf.DUMMYFUNCTION("IMPORTRANGE(""https://docs.google.com/spreadsheets/d/1XL5vhW3sbDhbH9Cz0tuDiY8C3ctxq1tqvaCgkFb8cCA/edit?usp=sharing"",""อำนาจเจริญ!J23"")"),0)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IFERROR(__xludf.DUMMYFUNCTION("IMPORTRANGE(""https://docs.google.com/spreadsheets/d/1XL5vhW3sbDhbH9Cz0tuDiY8C3ctxq1tqvaCgkFb8cCA/edit?usp=sharing"",""อำนาจเจริญ!I24"")"),1)</f>
        <v>1</v>
      </c>
      <c r="J84" s="189">
        <f ca="1">IFERROR(__xludf.DUMMYFUNCTION("IMPORTRANGE(""https://docs.google.com/spreadsheets/d/1XL5vhW3sbDhbH9Cz0tuDiY8C3ctxq1tqvaCgkFb8cCA/edit?usp=sharing"",""อำนาจเจริญ!J24"")"),1)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IFERROR(__xludf.DUMMYFUNCTION("IMPORTRANGE(""https://docs.google.com/spreadsheets/d/1XL5vhW3sbDhbH9Cz0tuDiY8C3ctxq1tqvaCgkFb8cCA/edit?usp=sharing"",""อำนาจเจริญ!I25"")"),48)</f>
        <v>48</v>
      </c>
      <c r="J85" s="189">
        <f ca="1">IFERROR(__xludf.DUMMYFUNCTION("IMPORTRANGE(""https://docs.google.com/spreadsheets/d/1XL5vhW3sbDhbH9Cz0tuDiY8C3ctxq1tqvaCgkFb8cCA/edit?usp=sharing"",""อำนาจเจริญ!J25"")"),48)</f>
        <v>48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IFERROR(__xludf.DUMMYFUNCTION("IMPORTRANGE(""https://docs.google.com/spreadsheets/d/1XL5vhW3sbDhbH9Cz0tuDiY8C3ctxq1tqvaCgkFb8cCA/edit?usp=sharing"",""อำนาจเจริญ!I26"")"),0)</f>
        <v>0</v>
      </c>
      <c r="J86" s="204">
        <f ca="1">IFERROR(__xludf.DUMMYFUNCTION("IMPORTRANGE(""https://docs.google.com/spreadsheets/d/1XL5vhW3sbDhbH9Cz0tuDiY8C3ctxq1tqvaCgkFb8cCA/edit?usp=sharing"",""อำนาจเจริญ!J26"")"),0)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IFERROR(__xludf.DUMMYFUNCTION("IMPORTRANGE(""https://docs.google.com/spreadsheets/d/1XL5vhW3sbDhbH9Cz0tuDiY8C3ctxq1tqvaCgkFb8cCA/edit?usp=sharing"",""อำนาจเจริญ!I27"")"),0)</f>
        <v>0</v>
      </c>
      <c r="J87" s="204">
        <f ca="1">IFERROR(__xludf.DUMMYFUNCTION("IMPORTRANGE(""https://docs.google.com/spreadsheets/d/1XL5vhW3sbDhbH9Cz0tuDiY8C3ctxq1tqvaCgkFb8cCA/edit?usp=sharing"",""อำนาจเจริญ!J27"")"),0)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IFERROR(__xludf.DUMMYFUNCTION("IMPORTRANGE(""https://docs.google.com/spreadsheets/d/1XL5vhW3sbDhbH9Cz0tuDiY8C3ctxq1tqvaCgkFb8cCA/edit?usp=sharing"",""อำนาจเจริญ!I28"")"),0)</f>
        <v>0</v>
      </c>
      <c r="J88" s="204">
        <f ca="1">IFERROR(__xludf.DUMMYFUNCTION("IMPORTRANGE(""https://docs.google.com/spreadsheets/d/1XL5vhW3sbDhbH9Cz0tuDiY8C3ctxq1tqvaCgkFb8cCA/edit?usp=sharing"",""อำนาจเจริญ!J28"")"),0)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IFERROR(__xludf.DUMMYFUNCTION("IMPORTRANGE(""https://docs.google.com/spreadsheets/d/1XL5vhW3sbDhbH9Cz0tuDiY8C3ctxq1tqvaCgkFb8cCA/edit?usp=sharing"",""อำนาจเจริญ!J29"")"),0)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IFERROR(__xludf.DUMMYFUNCTION("IMPORTRANGE(""https://docs.google.com/spreadsheets/d/1XL5vhW3sbDhbH9Cz0tuDiY8C3ctxq1tqvaCgkFb8cCA/edit?usp=sharing"",""อำนาจเจริญ!J30"")"),0)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IFERROR(__xludf.DUMMYFUNCTION("IMPORTRANGE(""https://docs.google.com/spreadsheets/d/1XL5vhW3sbDhbH9Cz0tuDiY8C3ctxq1tqvaCgkFb8cCA/edit?usp=sharing"",""อำนาจเจริญ!I32"")"),0)</f>
        <v>0</v>
      </c>
      <c r="J92" s="142">
        <f ca="1">IFERROR(__xludf.DUMMYFUNCTION("IMPORTRANGE(""https://docs.google.com/spreadsheets/d/1XL5vhW3sbDhbH9Cz0tuDiY8C3ctxq1tqvaCgkFb8cCA/edit?usp=sharing"",""อำนาจเจริญ!J32"")"),0)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IFERROR(__xludf.DUMMYFUNCTION("IMPORTRANGE(""https://docs.google.com/spreadsheets/d/1XL5vhW3sbDhbH9Cz0tuDiY8C3ctxq1tqvaCgkFb8cCA/edit?usp=sharing"",""อำนาจเจริญ!I33"")"),0)</f>
        <v>0</v>
      </c>
      <c r="J93" s="142">
        <f ca="1">IFERROR(__xludf.DUMMYFUNCTION("IMPORTRANGE(""https://docs.google.com/spreadsheets/d/1XL5vhW3sbDhbH9Cz0tuDiY8C3ctxq1tqvaCgkFb8cCA/edit?usp=sharing"",""อำนาจเจริญ!J33"")"),0)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54" t="s">
        <v>17</v>
      </c>
      <c r="E94" s="555"/>
      <c r="F94" s="555"/>
      <c r="G94" s="55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52" t="s">
        <v>20</v>
      </c>
      <c r="E97" s="553"/>
      <c r="F97" s="55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537">
        <f ca="1">IFERROR(__xludf.DUMMYFUNCTION("IMPORTRANGE(""https://docs.google.com/spreadsheets/d/1Yj_ptqi66GCucihVvJfMjLAmec39IyEx_6qawtMGysU/edit?usp=sharing"",""สบก!AR55"")"),0)</f>
        <v>0</v>
      </c>
      <c r="N98" s="538">
        <f ca="1">IFERROR(__xludf.DUMMYFUNCTION("IMPORTRANGE(""https://docs.google.com/spreadsheets/d/1Yj_ptqi66GCucihVvJfMjLAmec39IyEx_6qawtMGysU/edit?usp=sharing"",""สบก!AS55"")"),0)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537">
        <f ca="1">IFERROR(__xludf.DUMMYFUNCTION("IMPORTRANGE(""https://docs.google.com/spreadsheets/d/1Yj_ptqi66GCucihVvJfMjLAmec39IyEx_6qawtMGysU/edit?usp=sharing"",""สบก!AN55"")"),0)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537">
        <f ca="1">IFERROR(__xludf.DUMMYFUNCTION("IMPORTRANGE(""https://docs.google.com/spreadsheets/d/1Yj_ptqi66GCucihVvJfMjLAmec39IyEx_6qawtMGysU/edit?usp=sharing"",""สบก!AO55"")"),0)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52" t="s">
        <v>23</v>
      </c>
      <c r="E101" s="553"/>
      <c r="F101" s="89"/>
      <c r="G101" s="82" t="s">
        <v>18</v>
      </c>
      <c r="H101" s="172" t="s">
        <v>12</v>
      </c>
      <c r="I101" s="188"/>
      <c r="J101" s="188"/>
      <c r="K101" s="224"/>
      <c r="L101" s="535">
        <v>0</v>
      </c>
      <c r="M101" s="535"/>
      <c r="N101" s="41"/>
      <c r="O101" s="535"/>
      <c r="P101" s="535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533">
        <f ca="1">IFERROR(__xludf.DUMMYFUNCTION("IMPORTRANGE(""https://docs.google.com/spreadsheets/d/1Yj_ptqi66GCucihVvJfMjLAmec39IyEx_6qawtMGysU/edit?usp=sharing"",""สบก!AP55"")"),0)</f>
        <v>0</v>
      </c>
      <c r="M102" s="536"/>
      <c r="N102" s="533">
        <f ca="1">IFERROR(__xludf.DUMMYFUNCTION("IMPORTRANGE(""https://docs.google.com/spreadsheets/d/1Yj_ptqi66GCucihVvJfMjLAmec39IyEx_6qawtMGysU/edit?usp=sharing"",""สบก!AT55"")"),0)</f>
        <v>0</v>
      </c>
      <c r="O102" s="536">
        <f ca="1">IF(L102&gt;0,N102*100/L102,0)</f>
        <v>0</v>
      </c>
      <c r="P102" s="536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IFERROR(__xludf.DUMMYFUNCTION("IMPORTRANGE(""https://docs.google.com/spreadsheets/d/1XL5vhW3sbDhbH9Cz0tuDiY8C3ctxq1tqvaCgkFb8cCA/edit?usp=sharing"",""อำนาจเจริญ!J39"")"),0)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IFERROR(__xludf.DUMMYFUNCTION("IMPORTRANGE(""https://docs.google.com/spreadsheets/d/1XL5vhW3sbDhbH9Cz0tuDiY8C3ctxq1tqvaCgkFb8cCA/edit?usp=sharing"",""อำนาจเจริญ!J40"")"),0)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IFERROR(__xludf.DUMMYFUNCTION("IMPORTRANGE(""https://docs.google.com/spreadsheets/d/1XL5vhW3sbDhbH9Cz0tuDiY8C3ctxq1tqvaCgkFb8cCA/edit?usp=sharing"",""อำนาจเจริญ!J41"")"),0)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IFERROR(__xludf.DUMMYFUNCTION("IMPORTRANGE(""https://docs.google.com/spreadsheets/d/1XL5vhW3sbDhbH9Cz0tuDiY8C3ctxq1tqvaCgkFb8cCA/edit?usp=sharing"",""อำนาจเจริญ!J42"")"),0)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IFERROR(__xludf.DUMMYFUNCTION("IMPORTRANGE(""https://docs.google.com/spreadsheets/d/1XL5vhW3sbDhbH9Cz0tuDiY8C3ctxq1tqvaCgkFb8cCA/edit?usp=sharing"",""อำนาจเจริญ!I43"")"),0)</f>
        <v>0</v>
      </c>
      <c r="J108" s="204">
        <f ca="1">IFERROR(__xludf.DUMMYFUNCTION("IMPORTRANGE(""https://docs.google.com/spreadsheets/d/1XL5vhW3sbDhbH9Cz0tuDiY8C3ctxq1tqvaCgkFb8cCA/edit?usp=sharing"",""อำนาจเจริญ!J43"")"),0)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IFERROR(__xludf.DUMMYFUNCTION("IMPORTRANGE(""https://docs.google.com/spreadsheets/d/1XL5vhW3sbDhbH9Cz0tuDiY8C3ctxq1tqvaCgkFb8cCA/edit?usp=sharing"",""อำนาจเจริญ!I44"")"),0)</f>
        <v>0</v>
      </c>
      <c r="J109" s="204">
        <f ca="1">IFERROR(__xludf.DUMMYFUNCTION("IMPORTRANGE(""https://docs.google.com/spreadsheets/d/1XL5vhW3sbDhbH9Cz0tuDiY8C3ctxq1tqvaCgkFb8cCA/edit?usp=sharing"",""อำนาจเจริญ!J44"")"),0)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IFERROR(__xludf.DUMMYFUNCTION("IMPORTRANGE(""https://docs.google.com/spreadsheets/d/1XL5vhW3sbDhbH9Cz0tuDiY8C3ctxq1tqvaCgkFb8cCA/edit?usp=sharing"",""อำนาจเจริญ!I45"")"),0)</f>
        <v>0</v>
      </c>
      <c r="J110" s="204">
        <f ca="1">IFERROR(__xludf.DUMMYFUNCTION("IMPORTRANGE(""https://docs.google.com/spreadsheets/d/1XL5vhW3sbDhbH9Cz0tuDiY8C3ctxq1tqvaCgkFb8cCA/edit?usp=sharing"",""อำนาจเจริญ!J45"")"),0)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IFERROR(__xludf.DUMMYFUNCTION("IMPORTRANGE(""https://docs.google.com/spreadsheets/d/1XL5vhW3sbDhbH9Cz0tuDiY8C3ctxq1tqvaCgkFb8cCA/edit?usp=sharing"",""อำนาจเจริญ!I46"")"),0)</f>
        <v>0</v>
      </c>
      <c r="J111" s="204">
        <f ca="1">IFERROR(__xludf.DUMMYFUNCTION("IMPORTRANGE(""https://docs.google.com/spreadsheets/d/1XL5vhW3sbDhbH9Cz0tuDiY8C3ctxq1tqvaCgkFb8cCA/edit?usp=sharing"",""อำนาจเจริญ!J46"")"),0)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IFERROR(__xludf.DUMMYFUNCTION("IMPORTRANGE(""https://docs.google.com/spreadsheets/d/1XL5vhW3sbDhbH9Cz0tuDiY8C3ctxq1tqvaCgkFb8cCA/edit?usp=sharing"",""อำนาจเจริญ!I47"")"),0)</f>
        <v>0</v>
      </c>
      <c r="J112" s="204">
        <f ca="1">IFERROR(__xludf.DUMMYFUNCTION("IMPORTRANGE(""https://docs.google.com/spreadsheets/d/1XL5vhW3sbDhbH9Cz0tuDiY8C3ctxq1tqvaCgkFb8cCA/edit?usp=sharing"",""อำนาจเจริญ!J47"")"),0)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IFERROR(__xludf.DUMMYFUNCTION("IMPORTRANGE(""https://docs.google.com/spreadsheets/d/1XL5vhW3sbDhbH9Cz0tuDiY8C3ctxq1tqvaCgkFb8cCA/edit?usp=sharing"",""อำนาจเจริญ!I48"")"),0)</f>
        <v>0</v>
      </c>
      <c r="J113" s="204">
        <f ca="1">IFERROR(__xludf.DUMMYFUNCTION("IMPORTRANGE(""https://docs.google.com/spreadsheets/d/1XL5vhW3sbDhbH9Cz0tuDiY8C3ctxq1tqvaCgkFb8cCA/edit?usp=sharing"",""อำนาจเจริญ!J48"")"),0)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IFERROR(__xludf.DUMMYFUNCTION("IMPORTRANGE(""https://docs.google.com/spreadsheets/d/1XL5vhW3sbDhbH9Cz0tuDiY8C3ctxq1tqvaCgkFb8cCA/edit?usp=sharing"",""อำนาจเจริญ!J49"")"),0)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IFERROR(__xludf.DUMMYFUNCTION("IMPORTRANGE(""https://docs.google.com/spreadsheets/d/1XL5vhW3sbDhbH9Cz0tuDiY8C3ctxq1tqvaCgkFb8cCA/edit?usp=sharing"",""อำนาจเจริญ!J50"")"),0)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IFERROR(__xludf.DUMMYFUNCTION("IMPORTRANGE(""https://docs.google.com/spreadsheets/d/1XL5vhW3sbDhbH9Cz0tuDiY8C3ctxq1tqvaCgkFb8cCA/edit?usp=sharing"",""อำนาจเจริญ!I52"")"),0)</f>
        <v>0</v>
      </c>
      <c r="J117" s="142">
        <f ca="1">IFERROR(__xludf.DUMMYFUNCTION("IMPORTRANGE(""https://docs.google.com/spreadsheets/d/1XL5vhW3sbDhbH9Cz0tuDiY8C3ctxq1tqvaCgkFb8cCA/edit?usp=sharing"",""อำนาจเจริญ!J52"")"),0)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54" t="s">
        <v>17</v>
      </c>
      <c r="E118" s="555"/>
      <c r="F118" s="555"/>
      <c r="G118" s="55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52" t="s">
        <v>20</v>
      </c>
      <c r="E121" s="553"/>
      <c r="F121" s="55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537">
        <f ca="1">IFERROR(__xludf.DUMMYFUNCTION("IMPORTRANGE(""https://docs.google.com/spreadsheets/d/1Yj_ptqi66GCucihVvJfMjLAmec39IyEx_6qawtMGysU/edit?usp=sharing"",""สบก!BA55"")"),0)</f>
        <v>0</v>
      </c>
      <c r="N122" s="538">
        <f ca="1">IFERROR(__xludf.DUMMYFUNCTION("IMPORTRANGE(""https://docs.google.com/spreadsheets/d/1Yj_ptqi66GCucihVvJfMjLAmec39IyEx_6qawtMGysU/edit?usp=sharing"",""สบก!BB55"")"),0)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537">
        <f ca="1">IFERROR(__xludf.DUMMYFUNCTION("IMPORTRANGE(""https://docs.google.com/spreadsheets/d/1Yj_ptqi66GCucihVvJfMjLAmec39IyEx_6qawtMGysU/edit?usp=sharing"",""สบก!AW55"")"),0)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537">
        <f ca="1">IFERROR(__xludf.DUMMYFUNCTION("IMPORTRANGE(""https://docs.google.com/spreadsheets/d/1Yj_ptqi66GCucihVvJfMjLAmec39IyEx_6qawtMGysU/edit?usp=sharing"",""สบก!AX55"")"),0)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52" t="s">
        <v>23</v>
      </c>
      <c r="E125" s="553"/>
      <c r="F125" s="89"/>
      <c r="G125" s="82" t="s">
        <v>18</v>
      </c>
      <c r="H125" s="172" t="s">
        <v>12</v>
      </c>
      <c r="I125" s="188"/>
      <c r="J125" s="188"/>
      <c r="K125" s="224"/>
      <c r="L125" s="535">
        <v>0</v>
      </c>
      <c r="M125" s="535"/>
      <c r="N125" s="41"/>
      <c r="O125" s="535"/>
      <c r="P125" s="535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533">
        <f ca="1">IFERROR(__xludf.DUMMYFUNCTION("IMPORTRANGE(""https://docs.google.com/spreadsheets/d/1Yj_ptqi66GCucihVvJfMjLAmec39IyEx_6qawtMGysU/edit?usp=sharing"",""สบก!AY55"")"),0)</f>
        <v>0</v>
      </c>
      <c r="M126" s="536"/>
      <c r="N126" s="533">
        <f ca="1">IFERROR(__xludf.DUMMYFUNCTION("IMPORTRANGE(""https://docs.google.com/spreadsheets/d/1Yj_ptqi66GCucihVvJfMjLAmec39IyEx_6qawtMGysU/edit?usp=sharing"",""สบก!BC55"")"),0)</f>
        <v>0</v>
      </c>
      <c r="O126" s="536">
        <f ca="1">IF(L126&gt;0,N126*100/L126,0)</f>
        <v>0</v>
      </c>
      <c r="P126" s="536"/>
    </row>
    <row r="127" spans="1:16" ht="21.75" customHeight="1" x14ac:dyDescent="0.35">
      <c r="A127" s="176"/>
      <c r="B127" s="177"/>
      <c r="C127" s="159" t="s">
        <v>16</v>
      </c>
      <c r="D127" s="233" t="s">
        <v>273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IFERROR(__xludf.DUMMYFUNCTION("IMPORTRANGE(""https://docs.google.com/spreadsheets/d/1XL5vhW3sbDhbH9Cz0tuDiY8C3ctxq1tqvaCgkFb8cCA/edit?usp=sharing"",""อำนาจเจริญ!J58"")"),0)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IFERROR(__xludf.DUMMYFUNCTION("IMPORTRANGE(""https://docs.google.com/spreadsheets/d/1XL5vhW3sbDhbH9Cz0tuDiY8C3ctxq1tqvaCgkFb8cCA/edit?usp=sharing"",""อำนาจเจริญ!J59"")"),0)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IFERROR(__xludf.DUMMYFUNCTION("IMPORTRANGE(""https://docs.google.com/spreadsheets/d/1XL5vhW3sbDhbH9Cz0tuDiY8C3ctxq1tqvaCgkFb8cCA/edit?usp=sharing"",""อำนาจเจริญ!J60"")"),0)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IFERROR(__xludf.DUMMYFUNCTION("IMPORTRANGE(""https://docs.google.com/spreadsheets/d/1XL5vhW3sbDhbH9Cz0tuDiY8C3ctxq1tqvaCgkFb8cCA/edit?usp=sharing"",""อำนาจเจริญ!J61"")"),0)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IFERROR(__xludf.DUMMYFUNCTION("IMPORTRANGE(""https://docs.google.com/spreadsheets/d/1XL5vhW3sbDhbH9Cz0tuDiY8C3ctxq1tqvaCgkFb8cCA/edit?usp=sharing"",""อำนาจเจริญ!I62"")"),0)</f>
        <v>0</v>
      </c>
      <c r="J132" s="204">
        <f ca="1">IFERROR(__xludf.DUMMYFUNCTION("IMPORTRANGE(""https://docs.google.com/spreadsheets/d/1XL5vhW3sbDhbH9Cz0tuDiY8C3ctxq1tqvaCgkFb8cCA/edit?usp=sharing"",""อำนาจเจริญ!J62"")"),0)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IFERROR(__xludf.DUMMYFUNCTION("IMPORTRANGE(""https://docs.google.com/spreadsheets/d/1XL5vhW3sbDhbH9Cz0tuDiY8C3ctxq1tqvaCgkFb8cCA/edit?usp=sharing"",""อำนาจเจริญ!I63"")"),0)</f>
        <v>0</v>
      </c>
      <c r="J133" s="204">
        <f ca="1">IFERROR(__xludf.DUMMYFUNCTION("IMPORTRANGE(""https://docs.google.com/spreadsheets/d/1XL5vhW3sbDhbH9Cz0tuDiY8C3ctxq1tqvaCgkFb8cCA/edit?usp=sharing"",""อำนาจเจริญ!J63"")"),0)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IFERROR(__xludf.DUMMYFUNCTION("IMPORTRANGE(""https://docs.google.com/spreadsheets/d/1XL5vhW3sbDhbH9Cz0tuDiY8C3ctxq1tqvaCgkFb8cCA/edit?usp=sharing"",""อำนาจเจริญ!J64"")"),0)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IFERROR(__xludf.DUMMYFUNCTION("IMPORTRANGE(""https://docs.google.com/spreadsheets/d/1XL5vhW3sbDhbH9Cz0tuDiY8C3ctxq1tqvaCgkFb8cCA/edit?usp=sharing"",""อำนาจเจริญ!J65"")"),0)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IFERROR(__xludf.DUMMYFUNCTION("IMPORTRANGE(""https://docs.google.com/spreadsheets/d/1XL5vhW3sbDhbH9Cz0tuDiY8C3ctxq1tqvaCgkFb8cCA/edit?usp=sharing"",""อำนาจเจริญ!I68"")"),0)</f>
        <v>0</v>
      </c>
      <c r="J138" s="267">
        <f ca="1">IFERROR(__xludf.DUMMYFUNCTION("IMPORTRANGE(""https://docs.google.com/spreadsheets/d/1XL5vhW3sbDhbH9Cz0tuDiY8C3ctxq1tqvaCgkFb8cCA/edit?usp=sharing"",""อำนาจเจริญ!J68"")"),0)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54" t="s">
        <v>17</v>
      </c>
      <c r="E140" s="555"/>
      <c r="F140" s="555"/>
      <c r="G140" s="555"/>
      <c r="H140" s="149" t="s">
        <v>12</v>
      </c>
      <c r="I140" s="162"/>
      <c r="J140" s="162"/>
      <c r="K140" s="163"/>
      <c r="L140" s="152">
        <f t="shared" ref="L140:N140" ca="1" si="64">L141+L142</f>
        <v>77100</v>
      </c>
      <c r="M140" s="152">
        <f t="shared" ca="1" si="64"/>
        <v>56625</v>
      </c>
      <c r="N140" s="152">
        <f t="shared" ca="1" si="64"/>
        <v>42500</v>
      </c>
      <c r="O140" s="151">
        <f t="shared" ref="O140:O142" ca="1" si="65">IF(L140&gt;0,N140*100/L140,0)</f>
        <v>55.123216601815827</v>
      </c>
      <c r="P140" s="151">
        <f t="shared" ref="P140:P142" ca="1" si="66">IF(M140&gt;0,N140*100/M140,0)</f>
        <v>75.055187637969098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77100</v>
      </c>
      <c r="M142" s="157">
        <f t="shared" ca="1" si="68"/>
        <v>56625</v>
      </c>
      <c r="N142" s="157">
        <f t="shared" ca="1" si="68"/>
        <v>42500</v>
      </c>
      <c r="O142" s="156">
        <f t="shared" ca="1" si="65"/>
        <v>55.123216601815827</v>
      </c>
      <c r="P142" s="156">
        <f t="shared" ca="1" si="66"/>
        <v>75.055187637969098</v>
      </c>
    </row>
    <row r="143" spans="1:16" ht="21.75" customHeight="1" x14ac:dyDescent="0.45">
      <c r="A143" s="158"/>
      <c r="B143" s="159"/>
      <c r="C143" s="159" t="s">
        <v>16</v>
      </c>
      <c r="D143" s="552" t="s">
        <v>20</v>
      </c>
      <c r="E143" s="553"/>
      <c r="F143" s="55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77100</v>
      </c>
      <c r="M144" s="537">
        <f ca="1">IFERROR(__xludf.DUMMYFUNCTION("IMPORTRANGE(""https://docs.google.com/spreadsheets/d/1Yj_ptqi66GCucihVvJfMjLAmec39IyEx_6qawtMGysU/edit?usp=sharing"",""สบก!BJ55"")"),56625)</f>
        <v>56625</v>
      </c>
      <c r="N144" s="538">
        <f ca="1">IFERROR(__xludf.DUMMYFUNCTION("IMPORTRANGE(""https://docs.google.com/spreadsheets/d/1Yj_ptqi66GCucihVvJfMjLAmec39IyEx_6qawtMGysU/edit?usp=sharing"",""สบก!BK55"")"),42500)</f>
        <v>42500</v>
      </c>
      <c r="O144" s="169">
        <f ca="1">IF(L144&gt;0,N144*100/L144,0)</f>
        <v>55.123216601815827</v>
      </c>
      <c r="P144" s="169">
        <f ca="1">IF(M144&gt;0,N144*100/M144,0)</f>
        <v>75.055187637969098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537">
        <f ca="1">IFERROR(__xludf.DUMMYFUNCTION("IMPORTRANGE(""https://docs.google.com/spreadsheets/d/1Yj_ptqi66GCucihVvJfMjLAmec39IyEx_6qawtMGysU/edit?usp=sharing"",""สบก!BF55"")"),0)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537">
        <f ca="1">IFERROR(__xludf.DUMMYFUNCTION("IMPORTRANGE(""https://docs.google.com/spreadsheets/d/1Yj_ptqi66GCucihVvJfMjLAmec39IyEx_6qawtMGysU/edit?usp=sharing"",""สบก!BG55"")"),77100)</f>
        <v>77100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52" t="s">
        <v>23</v>
      </c>
      <c r="E147" s="553"/>
      <c r="F147" s="89"/>
      <c r="G147" s="82" t="s">
        <v>18</v>
      </c>
      <c r="H147" s="172" t="s">
        <v>12</v>
      </c>
      <c r="I147" s="188"/>
      <c r="J147" s="188"/>
      <c r="K147" s="224"/>
      <c r="L147" s="535">
        <v>0</v>
      </c>
      <c r="M147" s="535"/>
      <c r="N147" s="41"/>
      <c r="O147" s="535"/>
      <c r="P147" s="535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533">
        <f ca="1">IFERROR(__xludf.DUMMYFUNCTION("IMPORTRANGE(""https://docs.google.com/spreadsheets/d/1Yj_ptqi66GCucihVvJfMjLAmec39IyEx_6qawtMGysU/edit?usp=sharing"",""สบก!BH55"")"),0)</f>
        <v>0</v>
      </c>
      <c r="M148" s="536"/>
      <c r="N148" s="533">
        <f ca="1">IFERROR(__xludf.DUMMYFUNCTION("IMPORTRANGE(""https://docs.google.com/spreadsheets/d/1Yj_ptqi66GCucihVvJfMjLAmec39IyEx_6qawtMGysU/edit?usp=sharing"",""สบก!BL55"")"),0)</f>
        <v>0</v>
      </c>
      <c r="O148" s="536">
        <f ca="1">IF(L148&gt;0,N148*100/L148,0)</f>
        <v>0</v>
      </c>
      <c r="P148" s="536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IFERROR(__xludf.DUMMYFUNCTION("IMPORTRANGE(""https://docs.google.com/spreadsheets/d/1XL5vhW3sbDhbH9Cz0tuDiY8C3ctxq1tqvaCgkFb8cCA/edit?usp=sharing"",""อำนาจเจริญ!I74"")"),4)</f>
        <v>4</v>
      </c>
      <c r="J149" s="275">
        <f ca="1">IFERROR(__xludf.DUMMYFUNCTION("IMPORTRANGE(""https://docs.google.com/spreadsheets/d/1XL5vhW3sbDhbH9Cz0tuDiY8C3ctxq1tqvaCgkFb8cCA/edit?usp=sharing"",""อำนาจเจริญ!J74"")"),2)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IFERROR(__xludf.DUMMYFUNCTION("IMPORTRANGE(""https://docs.google.com/spreadsheets/d/1XL5vhW3sbDhbH9Cz0tuDiY8C3ctxq1tqvaCgkFb8cCA/edit?usp=sharing"",""อำนาจเจริญ!J79"")"),0)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IFERROR(__xludf.DUMMYFUNCTION("IMPORTRANGE(""https://docs.google.com/spreadsheets/d/1XL5vhW3sbDhbH9Cz0tuDiY8C3ctxq1tqvaCgkFb8cCA/edit?usp=sharing"",""อำนาจเจริญ!J80"")"),1)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IFERROR(__xludf.DUMMYFUNCTION("IMPORTRANGE(""https://docs.google.com/spreadsheets/d/1XL5vhW3sbDhbH9Cz0tuDiY8C3ctxq1tqvaCgkFb8cCA/edit?usp=sharing"",""อำนาจเจริญ!J81"")"),1)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IFERROR(__xludf.DUMMYFUNCTION("IMPORTRANGE(""https://docs.google.com/spreadsheets/d/1XL5vhW3sbDhbH9Cz0tuDiY8C3ctxq1tqvaCgkFb8cCA/edit?usp=sharing"",""อำนาจเจริญ!J82"")"),1)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IFERROR(__xludf.DUMMYFUNCTION("IMPORTRANGE(""https://docs.google.com/spreadsheets/d/1XL5vhW3sbDhbH9Cz0tuDiY8C3ctxq1tqvaCgkFb8cCA/edit?usp=sharing"",""อำนาจเจริญ!I83"")"),4)</f>
        <v>4</v>
      </c>
      <c r="J158" s="189">
        <f ca="1">IFERROR(__xludf.DUMMYFUNCTION("IMPORTRANGE(""https://docs.google.com/spreadsheets/d/1XL5vhW3sbDhbH9Cz0tuDiY8C3ctxq1tqvaCgkFb8cCA/edit?usp=sharing"",""อำนาจเจริญ!J83"")"),2)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IFERROR(__xludf.DUMMYFUNCTION("IMPORTRANGE(""https://docs.google.com/spreadsheets/d/1XL5vhW3sbDhbH9Cz0tuDiY8C3ctxq1tqvaCgkFb8cCA/edit?usp=sharing"",""อำนาจเจริญ!J84"")"),16)</f>
        <v>16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IFERROR(__xludf.DUMMYFUNCTION("IMPORTRANGE(""https://docs.google.com/spreadsheets/d/1XL5vhW3sbDhbH9Cz0tuDiY8C3ctxq1tqvaCgkFb8cCA/edit?usp=sharing"",""อำนาจเจริญ!J85"")"),16)</f>
        <v>16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IFERROR(__xludf.DUMMYFUNCTION("IMPORTRANGE(""https://docs.google.com/spreadsheets/d/1XL5vhW3sbDhbH9Cz0tuDiY8C3ctxq1tqvaCgkFb8cCA/edit?usp=sharing"",""อำนาจเจริญ!J86"")"),0)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IFERROR(__xludf.DUMMYFUNCTION("IMPORTRANGE(""https://docs.google.com/spreadsheets/d/1XL5vhW3sbDhbH9Cz0tuDiY8C3ctxq1tqvaCgkFb8cCA/edit?usp=sharing"",""อำนาจเจริญ!J87"")"),0)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IFERROR(__xludf.DUMMYFUNCTION("IMPORTRANGE(""https://docs.google.com/spreadsheets/d/1XL5vhW3sbDhbH9Cz0tuDiY8C3ctxq1tqvaCgkFb8cCA/edit?usp=sharing"",""อำนาจเจริญ!J88"")"),0)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IFERROR(__xludf.DUMMYFUNCTION("IMPORTRANGE(""https://docs.google.com/spreadsheets/d/1XL5vhW3sbDhbH9Cz0tuDiY8C3ctxq1tqvaCgkFb8cCA/edit?usp=sharing"",""อำนาจเจริญ!I89"")"),2)</f>
        <v>2</v>
      </c>
      <c r="J164" s="284">
        <f ca="1">IFERROR(__xludf.DUMMYFUNCTION("IMPORTRANGE(""https://docs.google.com/spreadsheets/d/1XL5vhW3sbDhbH9Cz0tuDiY8C3ctxq1tqvaCgkFb8cCA/edit?usp=sharing"",""อำนาจเจริญ!J89"")"),2)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IFERROR(__xludf.DUMMYFUNCTION("IMPORTRANGE(""https://docs.google.com/spreadsheets/d/1XL5vhW3sbDhbH9Cz0tuDiY8C3ctxq1tqvaCgkFb8cCA/edit?usp=sharing"",""อำนาจเจริญ!J94"")"),0)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IFERROR(__xludf.DUMMYFUNCTION("IMPORTRANGE(""https://docs.google.com/spreadsheets/d/1XL5vhW3sbDhbH9Cz0tuDiY8C3ctxq1tqvaCgkFb8cCA/edit?usp=sharing"",""อำนาจเจริญ!J95"")"),1)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IFERROR(__xludf.DUMMYFUNCTION("IMPORTRANGE(""https://docs.google.com/spreadsheets/d/1XL5vhW3sbDhbH9Cz0tuDiY8C3ctxq1tqvaCgkFb8cCA/edit?usp=sharing"",""อำนาจเจริญ!J96"")"),1)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IFERROR(__xludf.DUMMYFUNCTION("IMPORTRANGE(""https://docs.google.com/spreadsheets/d/1XL5vhW3sbDhbH9Cz0tuDiY8C3ctxq1tqvaCgkFb8cCA/edit?usp=sharing"",""อำนาจเจริญ!J97"")"),1)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IFERROR(__xludf.DUMMYFUNCTION("IMPORTRANGE(""https://docs.google.com/spreadsheets/d/1XL5vhW3sbDhbH9Cz0tuDiY8C3ctxq1tqvaCgkFb8cCA/edit?usp=sharing"",""อำนาจเจริญ!I98"")"),2)</f>
        <v>2</v>
      </c>
      <c r="J173" s="189">
        <f ca="1">IFERROR(__xludf.DUMMYFUNCTION("IMPORTRANGE(""https://docs.google.com/spreadsheets/d/1XL5vhW3sbDhbH9Cz0tuDiY8C3ctxq1tqvaCgkFb8cCA/edit?usp=sharing"",""อำนาจเจริญ!J98"")"),2)</f>
        <v>2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IFERROR(__xludf.DUMMYFUNCTION("IMPORTRANGE(""https://docs.google.com/spreadsheets/d/1XL5vhW3sbDhbH9Cz0tuDiY8C3ctxq1tqvaCgkFb8cCA/edit?usp=sharing"",""อำนาจเจริญ!J99"")"),0)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IFERROR(__xludf.DUMMYFUNCTION("IMPORTRANGE(""https://docs.google.com/spreadsheets/d/1XL5vhW3sbDhbH9Cz0tuDiY8C3ctxq1tqvaCgkFb8cCA/edit?usp=sharing"",""อำนาจเจริญ!J100"")"),0)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IFERROR(__xludf.DUMMYFUNCTION("IMPORTRANGE(""https://docs.google.com/spreadsheets/d/1XL5vhW3sbDhbH9Cz0tuDiY8C3ctxq1tqvaCgkFb8cCA/edit?usp=sharing"",""อำนาจเจริญ!I101"")"),1)</f>
        <v>1</v>
      </c>
      <c r="J176" s="284">
        <f ca="1">IFERROR(__xludf.DUMMYFUNCTION("IMPORTRANGE(""https://docs.google.com/spreadsheets/d/1XL5vhW3sbDhbH9Cz0tuDiY8C3ctxq1tqvaCgkFb8cCA/edit?usp=sharing"",""อำนาจเจริญ!J101"")"),1)</f>
        <v>1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IFERROR(__xludf.DUMMYFUNCTION("IMPORTRANGE(""https://docs.google.com/spreadsheets/d/1XL5vhW3sbDhbH9Cz0tuDiY8C3ctxq1tqvaCgkFb8cCA/edit?usp=sharing"",""อำนาจเจริญ!J106"")"),0)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IFERROR(__xludf.DUMMYFUNCTION("IMPORTRANGE(""https://docs.google.com/spreadsheets/d/1XL5vhW3sbDhbH9Cz0tuDiY8C3ctxq1tqvaCgkFb8cCA/edit?usp=sharing"",""อำนาจเจริญ!J107"")"),1)</f>
        <v>1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IFERROR(__xludf.DUMMYFUNCTION("IMPORTRANGE(""https://docs.google.com/spreadsheets/d/1XL5vhW3sbDhbH9Cz0tuDiY8C3ctxq1tqvaCgkFb8cCA/edit?usp=sharing"",""อำนาจเจริญ!J108"")"),1)</f>
        <v>1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IFERROR(__xludf.DUMMYFUNCTION("IMPORTRANGE(""https://docs.google.com/spreadsheets/d/1XL5vhW3sbDhbH9Cz0tuDiY8C3ctxq1tqvaCgkFb8cCA/edit?usp=sharing"",""อำนาจเจริญ!J109"")"),1)</f>
        <v>1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IFERROR(__xludf.DUMMYFUNCTION("IMPORTRANGE(""https://docs.google.com/spreadsheets/d/1XL5vhW3sbDhbH9Cz0tuDiY8C3ctxq1tqvaCgkFb8cCA/edit?usp=sharing"",""อำนาจเจริญ!I110"")"),1)</f>
        <v>1</v>
      </c>
      <c r="J185" s="204">
        <f ca="1">IFERROR(__xludf.DUMMYFUNCTION("IMPORTRANGE(""https://docs.google.com/spreadsheets/d/1XL5vhW3sbDhbH9Cz0tuDiY8C3ctxq1tqvaCgkFb8cCA/edit?usp=sharing"",""อำนาจเจริญ!J110"")"),1)</f>
        <v>1</v>
      </c>
      <c r="K185" s="224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IFERROR(__xludf.DUMMYFUNCTION("IMPORTRANGE(""https://docs.google.com/spreadsheets/d/1XL5vhW3sbDhbH9Cz0tuDiY8C3ctxq1tqvaCgkFb8cCA/edit?usp=sharing"",""อำนาจเจริญ!I111"")"),1)</f>
        <v>1</v>
      </c>
      <c r="J186" s="204">
        <f ca="1">IFERROR(__xludf.DUMMYFUNCTION("IMPORTRANGE(""https://docs.google.com/spreadsheets/d/1XL5vhW3sbDhbH9Cz0tuDiY8C3ctxq1tqvaCgkFb8cCA/edit?usp=sharing"",""อำนาจเจริญ!J111"")"),1)</f>
        <v>1</v>
      </c>
      <c r="K186" s="224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IFERROR(__xludf.DUMMYFUNCTION("IMPORTRANGE(""https://docs.google.com/spreadsheets/d/1XL5vhW3sbDhbH9Cz0tuDiY8C3ctxq1tqvaCgkFb8cCA/edit?usp=sharing"",""อำนาจเจริญ!J112"")"),0)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IFERROR(__xludf.DUMMYFUNCTION("IMPORTRANGE(""https://docs.google.com/spreadsheets/d/1XL5vhW3sbDhbH9Cz0tuDiY8C3ctxq1tqvaCgkFb8cCA/edit?usp=sharing"",""อำนาจเจริญ!J113"")"),0)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IFERROR(__xludf.DUMMYFUNCTION("IMPORTRANGE(""https://docs.google.com/spreadsheets/d/1XL5vhW3sbDhbH9Cz0tuDiY8C3ctxq1tqvaCgkFb8cCA/edit?usp=sharing"",""อำนาจเจริญ!I114"")"),64000)</f>
        <v>64000</v>
      </c>
      <c r="J189" s="284">
        <f ca="1">IFERROR(__xludf.DUMMYFUNCTION("IMPORTRANGE(""https://docs.google.com/spreadsheets/d/1XL5vhW3sbDhbH9Cz0tuDiY8C3ctxq1tqvaCgkFb8cCA/edit?usp=sharing"",""อำนาจเจริญ!J114"")"),0)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IFERROR(__xludf.DUMMYFUNCTION("IMPORTRANGE(""https://docs.google.com/spreadsheets/d/1XL5vhW3sbDhbH9Cz0tuDiY8C3ctxq1tqvaCgkFb8cCA/edit?usp=sharing"",""อำนาจเจริญ!J119"")"),0)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IFERROR(__xludf.DUMMYFUNCTION("IMPORTRANGE(""https://docs.google.com/spreadsheets/d/1XL5vhW3sbDhbH9Cz0tuDiY8C3ctxq1tqvaCgkFb8cCA/edit?usp=sharing"",""อำนาจเจริญ!J120"")"),1)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IFERROR(__xludf.DUMMYFUNCTION("IMPORTRANGE(""https://docs.google.com/spreadsheets/d/1XL5vhW3sbDhbH9Cz0tuDiY8C3ctxq1tqvaCgkFb8cCA/edit?usp=sharing"",""อำนาจเจริญ!J121"")"),1)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IFERROR(__xludf.DUMMYFUNCTION("IMPORTRANGE(""https://docs.google.com/spreadsheets/d/1XL5vhW3sbDhbH9Cz0tuDiY8C3ctxq1tqvaCgkFb8cCA/edit?usp=sharing"",""อำนาจเจริญ!J122"")"),1)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IFERROR(__xludf.DUMMYFUNCTION("IMPORTRANGE(""https://docs.google.com/spreadsheets/d/1XL5vhW3sbDhbH9Cz0tuDiY8C3ctxq1tqvaCgkFb8cCA/edit?usp=sharing"",""อำนาจเจริญ!I124"")"),64000)</f>
        <v>64000</v>
      </c>
      <c r="J199" s="189">
        <f ca="1">IFERROR(__xludf.DUMMYFUNCTION("IMPORTRANGE(""https://docs.google.com/spreadsheets/d/1XL5vhW3sbDhbH9Cz0tuDiY8C3ctxq1tqvaCgkFb8cCA/edit?usp=sharing"",""อำนาจเจริญ!J124"")"),0)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IFERROR(__xludf.DUMMYFUNCTION("IMPORTRANGE(""https://docs.google.com/spreadsheets/d/1XL5vhW3sbDhbH9Cz0tuDiY8C3ctxq1tqvaCgkFb8cCA/edit?usp=sharing"",""อำนาจเจริญ!I125"")"),64000)</f>
        <v>64000</v>
      </c>
      <c r="J200" s="189">
        <f ca="1">IFERROR(__xludf.DUMMYFUNCTION("IMPORTRANGE(""https://docs.google.com/spreadsheets/d/1XL5vhW3sbDhbH9Cz0tuDiY8C3ctxq1tqvaCgkFb8cCA/edit?usp=sharing"",""อำนาจเจริญ!J125"")"),0)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IFERROR(__xludf.DUMMYFUNCTION("IMPORTRANGE(""https://docs.google.com/spreadsheets/d/1XL5vhW3sbDhbH9Cz0tuDiY8C3ctxq1tqvaCgkFb8cCA/edit?usp=sharing"",""อำนาจเจริญ!I126"")"),0)</f>
        <v>0</v>
      </c>
      <c r="J201" s="189">
        <f ca="1">IFERROR(__xludf.DUMMYFUNCTION("IMPORTRANGE(""https://docs.google.com/spreadsheets/d/1XL5vhW3sbDhbH9Cz0tuDiY8C3ctxq1tqvaCgkFb8cCA/edit?usp=sharing"",""อำนาจเจริญ!J126"")"),0)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IFERROR(__xludf.DUMMYFUNCTION("IMPORTRANGE(""https://docs.google.com/spreadsheets/d/1XL5vhW3sbDhbH9Cz0tuDiY8C3ctxq1tqvaCgkFb8cCA/edit?usp=sharing"",""อำนาจเจริญ!J127"")"),0)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IFERROR(__xludf.DUMMYFUNCTION("IMPORTRANGE(""https://docs.google.com/spreadsheets/d/1XL5vhW3sbDhbH9Cz0tuDiY8C3ctxq1tqvaCgkFb8cCA/edit?usp=sharing"",""อำนาจเจริญ!J128"")"),0)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IFERROR(__xludf.DUMMYFUNCTION("IMPORTRANGE(""https://docs.google.com/spreadsheets/d/1XL5vhW3sbDhbH9Cz0tuDiY8C3ctxq1tqvaCgkFb8cCA/edit?usp=sharing"",""อำนาจเจริญ!I129"")"),0)</f>
        <v>0</v>
      </c>
      <c r="J204" s="284">
        <f ca="1">IFERROR(__xludf.DUMMYFUNCTION("IMPORTRANGE(""https://docs.google.com/spreadsheets/d/1XL5vhW3sbDhbH9Cz0tuDiY8C3ctxq1tqvaCgkFb8cCA/edit?usp=sharing"",""อำนาจเจริญ!J129"")"),0)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IFERROR(__xludf.DUMMYFUNCTION("IMPORTRANGE(""https://docs.google.com/spreadsheets/d/1XL5vhW3sbDhbH9Cz0tuDiY8C3ctxq1tqvaCgkFb8cCA/edit?usp=sharing"",""อำนาจเจริญ!J134"")"),0)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IFERROR(__xludf.DUMMYFUNCTION("IMPORTRANGE(""https://docs.google.com/spreadsheets/d/1XL5vhW3sbDhbH9Cz0tuDiY8C3ctxq1tqvaCgkFb8cCA/edit?usp=sharing"",""อำนาจเจริญ!J135"")"),0)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IFERROR(__xludf.DUMMYFUNCTION("IMPORTRANGE(""https://docs.google.com/spreadsheets/d/1XL5vhW3sbDhbH9Cz0tuDiY8C3ctxq1tqvaCgkFb8cCA/edit?usp=sharing"",""อำนาจเจริญ!J136"")"),0)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IFERROR(__xludf.DUMMYFUNCTION("IMPORTRANGE(""https://docs.google.com/spreadsheets/d/1XL5vhW3sbDhbH9Cz0tuDiY8C3ctxq1tqvaCgkFb8cCA/edit?usp=sharing"",""อำนาจเจริญ!J137"")"),0)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IFERROR(__xludf.DUMMYFUNCTION("IMPORTRANGE(""https://docs.google.com/spreadsheets/d/1XL5vhW3sbDhbH9Cz0tuDiY8C3ctxq1tqvaCgkFb8cCA/edit?usp=sharing"",""อำนาจเจริญ!I138"")"),0)</f>
        <v>0</v>
      </c>
      <c r="J213" s="204">
        <f ca="1">IFERROR(__xludf.DUMMYFUNCTION("IMPORTRANGE(""https://docs.google.com/spreadsheets/d/1XL5vhW3sbDhbH9Cz0tuDiY8C3ctxq1tqvaCgkFb8cCA/edit?usp=sharing"",""อำนาจเจริญ!J138"")"),0)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IFERROR(__xludf.DUMMYFUNCTION("IMPORTRANGE(""https://docs.google.com/spreadsheets/d/1XL5vhW3sbDhbH9Cz0tuDiY8C3ctxq1tqvaCgkFb8cCA/edit?usp=sharing"",""อำนาจเจริญ!I140"")"),0)</f>
        <v>0</v>
      </c>
      <c r="J215" s="204">
        <f ca="1">IFERROR(__xludf.DUMMYFUNCTION("IMPORTRANGE(""https://docs.google.com/spreadsheets/d/1XL5vhW3sbDhbH9Cz0tuDiY8C3ctxq1tqvaCgkFb8cCA/edit?usp=sharing"",""อำนาจเจริญ!J140"")"),0)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IFERROR(__xludf.DUMMYFUNCTION("IMPORTRANGE(""https://docs.google.com/spreadsheets/d/1XL5vhW3sbDhbH9Cz0tuDiY8C3ctxq1tqvaCgkFb8cCA/edit?usp=sharing"",""อำนาจเจริญ!I141"")"),0)</f>
        <v>0</v>
      </c>
      <c r="J216" s="204">
        <f ca="1">IFERROR(__xludf.DUMMYFUNCTION("IMPORTRANGE(""https://docs.google.com/spreadsheets/d/1XL5vhW3sbDhbH9Cz0tuDiY8C3ctxq1tqvaCgkFb8cCA/edit?usp=sharing"",""อำนาจเจริญ!J141"")"),0)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IFERROR(__xludf.DUMMYFUNCTION("IMPORTRANGE(""https://docs.google.com/spreadsheets/d/1XL5vhW3sbDhbH9Cz0tuDiY8C3ctxq1tqvaCgkFb8cCA/edit?usp=sharing"",""อำนาจเจริญ!J142"")"),0)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IFERROR(__xludf.DUMMYFUNCTION("IMPORTRANGE(""https://docs.google.com/spreadsheets/d/1XL5vhW3sbDhbH9Cz0tuDiY8C3ctxq1tqvaCgkFb8cCA/edit?usp=sharing"",""อำนาจเจริญ!J143"")"),0)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IFERROR(__xludf.DUMMYFUNCTION("IMPORTRANGE(""https://docs.google.com/spreadsheets/d/1XL5vhW3sbDhbH9Cz0tuDiY8C3ctxq1tqvaCgkFb8cCA/edit?usp=sharing"",""อำนาจเจริญ!I144"")"),14)</f>
        <v>14</v>
      </c>
      <c r="J219" s="267">
        <f ca="1">IFERROR(__xludf.DUMMYFUNCTION("IMPORTRANGE(""https://docs.google.com/spreadsheets/d/1XL5vhW3sbDhbH9Cz0tuDiY8C3ctxq1tqvaCgkFb8cCA/edit?usp=sharing"",""อำนาจเจริญ!J144"")"),14)</f>
        <v>14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54" t="s">
        <v>17</v>
      </c>
      <c r="E220" s="555"/>
      <c r="F220" s="555"/>
      <c r="G220" s="555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52" t="s">
        <v>20</v>
      </c>
      <c r="E223" s="553"/>
      <c r="F223" s="55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537">
        <f ca="1">IFERROR(__xludf.DUMMYFUNCTION("IMPORTRANGE(""https://docs.google.com/spreadsheets/d/1Yj_ptqi66GCucihVvJfMjLAmec39IyEx_6qawtMGysU/edit?usp=sharing"",""สบก!BS55"")"),20210)</f>
        <v>20210</v>
      </c>
      <c r="N224" s="538">
        <f ca="1">IFERROR(__xludf.DUMMYFUNCTION("IMPORTRANGE(""https://docs.google.com/spreadsheets/d/1Yj_ptqi66GCucihVvJfMjLAmec39IyEx_6qawtMGysU/edit?usp=sharing"",""สบก!BT55"")"),20210)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537">
        <f ca="1">IFERROR(__xludf.DUMMYFUNCTION("IMPORTRANGE(""https://docs.google.com/spreadsheets/d/1Yj_ptqi66GCucihVvJfMjLAmec39IyEx_6qawtMGysU/edit?usp=sharing"",""สบก!BO55"")"),0)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537">
        <f ca="1">IFERROR(__xludf.DUMMYFUNCTION("IMPORTRANGE(""https://docs.google.com/spreadsheets/d/1Yj_ptqi66GCucihVvJfMjLAmec39IyEx_6qawtMGysU/edit?usp=sharing"",""สบก!BP55"")"),20210)</f>
        <v>20210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52" t="s">
        <v>23</v>
      </c>
      <c r="E227" s="553"/>
      <c r="F227" s="89"/>
      <c r="G227" s="82" t="s">
        <v>18</v>
      </c>
      <c r="H227" s="172" t="s">
        <v>12</v>
      </c>
      <c r="I227" s="201"/>
      <c r="J227" s="201"/>
      <c r="K227" s="290"/>
      <c r="L227" s="535">
        <v>0</v>
      </c>
      <c r="M227" s="535"/>
      <c r="N227" s="41"/>
      <c r="O227" s="535"/>
      <c r="P227" s="535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533">
        <f ca="1">IFERROR(__xludf.DUMMYFUNCTION("IMPORTRANGE(""https://docs.google.com/spreadsheets/d/1Yj_ptqi66GCucihVvJfMjLAmec39IyEx_6qawtMGysU/edit?usp=sharing"",""สบก!BQ55"")"),0)</f>
        <v>0</v>
      </c>
      <c r="M228" s="536"/>
      <c r="N228" s="533">
        <f ca="1">IFERROR(__xludf.DUMMYFUNCTION("IMPORTRANGE(""https://docs.google.com/spreadsheets/d/1Yj_ptqi66GCucihVvJfMjLAmec39IyEx_6qawtMGysU/edit?usp=sharing"",""สบก!BU55"")"),0)</f>
        <v>0</v>
      </c>
      <c r="O228" s="536">
        <f ca="1">IF(L228&gt;0,N228*100/L228,0)</f>
        <v>0</v>
      </c>
      <c r="P228" s="536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IFERROR(__xludf.DUMMYFUNCTION("IMPORTRANGE(""https://docs.google.com/spreadsheets/d/1XL5vhW3sbDhbH9Cz0tuDiY8C3ctxq1tqvaCgkFb8cCA/edit?usp=sharing"",""อำนาจเจริญ!I149"")"),14)</f>
        <v>14</v>
      </c>
      <c r="J229" s="267">
        <f ca="1">IFERROR(__xludf.DUMMYFUNCTION("IMPORTRANGE(""https://docs.google.com/spreadsheets/d/1XL5vhW3sbDhbH9Cz0tuDiY8C3ctxq1tqvaCgkFb8cCA/edit?usp=sharing"",""อำนาจเจริญ!J149"")"),14)</f>
        <v>14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IFERROR(__xludf.DUMMYFUNCTION("IMPORTRANGE(""https://docs.google.com/spreadsheets/d/1XL5vhW3sbDhbH9Cz0tuDiY8C3ctxq1tqvaCgkFb8cCA/edit?usp=sharing"",""อำนาจเจริญ!J151"")"),0)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IFERROR(__xludf.DUMMYFUNCTION("IMPORTRANGE(""https://docs.google.com/spreadsheets/d/1XL5vhW3sbDhbH9Cz0tuDiY8C3ctxq1tqvaCgkFb8cCA/edit?usp=sharing"",""อำนาจเจริญ!J152"")"),1)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IFERROR(__xludf.DUMMYFUNCTION("IMPORTRANGE(""https://docs.google.com/spreadsheets/d/1XL5vhW3sbDhbH9Cz0tuDiY8C3ctxq1tqvaCgkFb8cCA/edit?usp=sharing"",""อำนาจเจริญ!J153"")"),1)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IFERROR(__xludf.DUMMYFUNCTION("IMPORTRANGE(""https://docs.google.com/spreadsheets/d/1XL5vhW3sbDhbH9Cz0tuDiY8C3ctxq1tqvaCgkFb8cCA/edit?usp=sharing"",""อำนาจเจริญ!J154"")"),1)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IFERROR(__xludf.DUMMYFUNCTION("IMPORTRANGE(""https://docs.google.com/spreadsheets/d/1XL5vhW3sbDhbH9Cz0tuDiY8C3ctxq1tqvaCgkFb8cCA/edit?usp=sharing"",""อำนาจเจริญ!I155"")"),14)</f>
        <v>14</v>
      </c>
      <c r="J235" s="189">
        <f ca="1">IFERROR(__xludf.DUMMYFUNCTION("IMPORTRANGE(""https://docs.google.com/spreadsheets/d/1XL5vhW3sbDhbH9Cz0tuDiY8C3ctxq1tqvaCgkFb8cCA/edit?usp=sharing"",""อำนาจเจริญ!J155"")"),14)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IFERROR(__xludf.DUMMYFUNCTION("IMPORTRANGE(""https://docs.google.com/spreadsheets/d/1XL5vhW3sbDhbH9Cz0tuDiY8C3ctxq1tqvaCgkFb8cCA/edit?usp=sharing"",""อำนาจเจริญ!J156"")"),0)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IFERROR(__xludf.DUMMYFUNCTION("IMPORTRANGE(""https://docs.google.com/spreadsheets/d/1XL5vhW3sbDhbH9Cz0tuDiY8C3ctxq1tqvaCgkFb8cCA/edit?usp=sharing"",""อำนาจเจริญ!J157"")"),0)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IFERROR(__xludf.DUMMYFUNCTION("IMPORTRANGE(""https://docs.google.com/spreadsheets/d/1XL5vhW3sbDhbH9Cz0tuDiY8C3ctxq1tqvaCgkFb8cCA/edit?usp=sharing"",""อำนาจเจริญ!I158"")"),0)</f>
        <v>0</v>
      </c>
      <c r="J238" s="267">
        <f ca="1">IFERROR(__xludf.DUMMYFUNCTION("IMPORTRANGE(""https://docs.google.com/spreadsheets/d/1XL5vhW3sbDhbH9Cz0tuDiY8C3ctxq1tqvaCgkFb8cCA/edit?usp=sharing"",""อำนาจเจริญ!J158"")"),0)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IFERROR(__xludf.DUMMYFUNCTION("IMPORTRANGE(""https://docs.google.com/spreadsheets/d/1XL5vhW3sbDhbH9Cz0tuDiY8C3ctxq1tqvaCgkFb8cCA/edit?usp=sharing"",""อำนาจเจริญ!J159"")"),"")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IFERROR(__xludf.DUMMYFUNCTION("IMPORTRANGE(""https://docs.google.com/spreadsheets/d/1XL5vhW3sbDhbH9Cz0tuDiY8C3ctxq1tqvaCgkFb8cCA/edit?usp=sharing"",""อำนาจเจริญ!J161"")"),0)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IFERROR(__xludf.DUMMYFUNCTION("IMPORTRANGE(""https://docs.google.com/spreadsheets/d/1XL5vhW3sbDhbH9Cz0tuDiY8C3ctxq1tqvaCgkFb8cCA/edit?usp=sharing"",""อำนาจเจริญ!J162"")"),0)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IFERROR(__xludf.DUMMYFUNCTION("IMPORTRANGE(""https://docs.google.com/spreadsheets/d/1XL5vhW3sbDhbH9Cz0tuDiY8C3ctxq1tqvaCgkFb8cCA/edit?usp=sharing"",""อำนาจเจริญ!J163"")"),0)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IFERROR(__xludf.DUMMYFUNCTION("IMPORTRANGE(""https://docs.google.com/spreadsheets/d/1XL5vhW3sbDhbH9Cz0tuDiY8C3ctxq1tqvaCgkFb8cCA/edit?usp=sharing"",""อำนาจเจริญ!I164"")"),0)</f>
        <v>0</v>
      </c>
      <c r="J244" s="188">
        <f ca="1">IFERROR(__xludf.DUMMYFUNCTION("IMPORTRANGE(""https://docs.google.com/spreadsheets/d/1XL5vhW3sbDhbH9Cz0tuDiY8C3ctxq1tqvaCgkFb8cCA/edit?usp=sharing"",""อำนาจเจริญ!J164"")"),0)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IFERROR(__xludf.DUMMYFUNCTION("IMPORTRANGE(""https://docs.google.com/spreadsheets/d/1XL5vhW3sbDhbH9Cz0tuDiY8C3ctxq1tqvaCgkFb8cCA/edit?usp=sharing"",""อำนาจเจริญ!J165"")"),0)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IFERROR(__xludf.DUMMYFUNCTION("IMPORTRANGE(""https://docs.google.com/spreadsheets/d/1XL5vhW3sbDhbH9Cz0tuDiY8C3ctxq1tqvaCgkFb8cCA/edit?usp=sharing"",""อำนาจเจริญ!J166"")"),0)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IFERROR(__xludf.DUMMYFUNCTION("IMPORTRANGE(""https://docs.google.com/spreadsheets/d/1XL5vhW3sbDhbH9Cz0tuDiY8C3ctxq1tqvaCgkFb8cCA/edit?usp=sharing"",""อำนาจเจริญ!I169"")"),0)</f>
        <v>0</v>
      </c>
      <c r="J249" s="316">
        <f ca="1">IFERROR(__xludf.DUMMYFUNCTION("IMPORTRANGE(""https://docs.google.com/spreadsheets/d/1XL5vhW3sbDhbH9Cz0tuDiY8C3ctxq1tqvaCgkFb8cCA/edit?usp=sharing"",""อำนาจเจริญ!J169"")"),0)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54" t="s">
        <v>17</v>
      </c>
      <c r="E250" s="555"/>
      <c r="F250" s="555"/>
      <c r="G250" s="55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52" t="s">
        <v>20</v>
      </c>
      <c r="E253" s="553"/>
      <c r="F253" s="55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537">
        <f ca="1">IFERROR(__xludf.DUMMYFUNCTION("IMPORTRANGE(""https://docs.google.com/spreadsheets/d/1Yj_ptqi66GCucihVvJfMjLAmec39IyEx_6qawtMGysU/edit?usp=sharing"",""สบก!CB55"")"),0)</f>
        <v>0</v>
      </c>
      <c r="N254" s="538">
        <f ca="1">IFERROR(__xludf.DUMMYFUNCTION("IMPORTRANGE(""https://docs.google.com/spreadsheets/d/1Yj_ptqi66GCucihVvJfMjLAmec39IyEx_6qawtMGysU/edit?usp=sharing"",""สบก!CC55"")"),0)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537">
        <f ca="1">IFERROR(__xludf.DUMMYFUNCTION("IMPORTRANGE(""https://docs.google.com/spreadsheets/d/1Yj_ptqi66GCucihVvJfMjLAmec39IyEx_6qawtMGysU/edit?usp=sharing"",""สบก!BX55"")"),0)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537">
        <f ca="1">IFERROR(__xludf.DUMMYFUNCTION("IMPORTRANGE(""https://docs.google.com/spreadsheets/d/1Yj_ptqi66GCucihVvJfMjLAmec39IyEx_6qawtMGysU/edit?usp=sharing"",""สบก!BY55"")"),0)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52" t="s">
        <v>23</v>
      </c>
      <c r="E257" s="553"/>
      <c r="F257" s="89"/>
      <c r="G257" s="82" t="s">
        <v>18</v>
      </c>
      <c r="H257" s="172" t="s">
        <v>12</v>
      </c>
      <c r="I257" s="162"/>
      <c r="J257" s="162"/>
      <c r="K257" s="163"/>
      <c r="L257" s="535">
        <v>0</v>
      </c>
      <c r="M257" s="535"/>
      <c r="N257" s="41"/>
      <c r="O257" s="535"/>
      <c r="P257" s="535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533">
        <f ca="1">IFERROR(__xludf.DUMMYFUNCTION("IMPORTRANGE(""https://docs.google.com/spreadsheets/d/1Yj_ptqi66GCucihVvJfMjLAmec39IyEx_6qawtMGysU/edit?usp=sharing"",""สบก!BZ55"")"),0)</f>
        <v>0</v>
      </c>
      <c r="M258" s="536"/>
      <c r="N258" s="533">
        <f ca="1">IFERROR(__xludf.DUMMYFUNCTION("IMPORTRANGE(""https://docs.google.com/spreadsheets/d/1Yj_ptqi66GCucihVvJfMjLAmec39IyEx_6qawtMGysU/edit?usp=sharing"",""สบก!CD55"")"),0)</f>
        <v>0</v>
      </c>
      <c r="O258" s="536">
        <f ca="1">IF(L258&gt;0,N258*100/L258,0)</f>
        <v>0</v>
      </c>
      <c r="P258" s="536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IFERROR(__xludf.DUMMYFUNCTION("IMPORTRANGE(""https://docs.google.com/spreadsheets/d/1XL5vhW3sbDhbH9Cz0tuDiY8C3ctxq1tqvaCgkFb8cCA/edit?usp=sharing"",""อำนาจเจริญ!J175"")"),0)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IFERROR(__xludf.DUMMYFUNCTION("IMPORTRANGE(""https://docs.google.com/spreadsheets/d/1XL5vhW3sbDhbH9Cz0tuDiY8C3ctxq1tqvaCgkFb8cCA/edit?usp=sharing"",""อำนาจเจริญ!J176"")"),0)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IFERROR(__xludf.DUMMYFUNCTION("IMPORTRANGE(""https://docs.google.com/spreadsheets/d/1XL5vhW3sbDhbH9Cz0tuDiY8C3ctxq1tqvaCgkFb8cCA/edit?usp=sharing"",""อำนาจเจริญ!J177"")"),0)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IFERROR(__xludf.DUMMYFUNCTION("IMPORTRANGE(""https://docs.google.com/spreadsheets/d/1XL5vhW3sbDhbH9Cz0tuDiY8C3ctxq1tqvaCgkFb8cCA/edit?usp=sharing"",""อำนาจเจริญ!J178"")"),0)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IFERROR(__xludf.DUMMYFUNCTION("IMPORTRANGE(""https://docs.google.com/spreadsheets/d/1XL5vhW3sbDhbH9Cz0tuDiY8C3ctxq1tqvaCgkFb8cCA/edit?usp=sharing"",""อำนาจเจริญ!I179"")"),0)</f>
        <v>0</v>
      </c>
      <c r="J264" s="189">
        <f ca="1">IFERROR(__xludf.DUMMYFUNCTION("IMPORTRANGE(""https://docs.google.com/spreadsheets/d/1XL5vhW3sbDhbH9Cz0tuDiY8C3ctxq1tqvaCgkFb8cCA/edit?usp=sharing"",""อำนาจเจริญ!J179"")"),0)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IFERROR(__xludf.DUMMYFUNCTION("IMPORTRANGE(""https://docs.google.com/spreadsheets/d/1XL5vhW3sbDhbH9Cz0tuDiY8C3ctxq1tqvaCgkFb8cCA/edit?usp=sharing"",""อำนาจเจริญ!I180"")"),0)</f>
        <v>0</v>
      </c>
      <c r="J265" s="189">
        <f ca="1">IFERROR(__xludf.DUMMYFUNCTION("IMPORTRANGE(""https://docs.google.com/spreadsheets/d/1XL5vhW3sbDhbH9Cz0tuDiY8C3ctxq1tqvaCgkFb8cCA/edit?usp=sharing"",""อำนาจเจริญ!J180"")"),0)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IFERROR(__xludf.DUMMYFUNCTION("IMPORTRANGE(""https://docs.google.com/spreadsheets/d/1XL5vhW3sbDhbH9Cz0tuDiY8C3ctxq1tqvaCgkFb8cCA/edit?usp=sharing"",""อำนาจเจริญ!I181"")"),0)</f>
        <v>0</v>
      </c>
      <c r="J266" s="189">
        <f ca="1">IFERROR(__xludf.DUMMYFUNCTION("IMPORTRANGE(""https://docs.google.com/spreadsheets/d/1XL5vhW3sbDhbH9Cz0tuDiY8C3ctxq1tqvaCgkFb8cCA/edit?usp=sharing"",""อำนาจเจริญ!J181"")"),0)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IFERROR(__xludf.DUMMYFUNCTION("IMPORTRANGE(""https://docs.google.com/spreadsheets/d/1XL5vhW3sbDhbH9Cz0tuDiY8C3ctxq1tqvaCgkFb8cCA/edit?usp=sharing"",""อำนาจเจริญ!I182"")"),0)</f>
        <v>0</v>
      </c>
      <c r="J267" s="189">
        <f ca="1">IFERROR(__xludf.DUMMYFUNCTION("IMPORTRANGE(""https://docs.google.com/spreadsheets/d/1XL5vhW3sbDhbH9Cz0tuDiY8C3ctxq1tqvaCgkFb8cCA/edit?usp=sharing"",""อำนาจเจริญ!J182"")"),0)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IFERROR(__xludf.DUMMYFUNCTION("IMPORTRANGE(""https://docs.google.com/spreadsheets/d/1XL5vhW3sbDhbH9Cz0tuDiY8C3ctxq1tqvaCgkFb8cCA/edit?usp=sharing"",""อำนาจเจริญ!J183"")"),0)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IFERROR(__xludf.DUMMYFUNCTION("IMPORTRANGE(""https://docs.google.com/spreadsheets/d/1XL5vhW3sbDhbH9Cz0tuDiY8C3ctxq1tqvaCgkFb8cCA/edit?usp=sharing"",""อำนาจเจริญ!J184"")"),0)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IFERROR(__xludf.DUMMYFUNCTION("IMPORTRANGE(""https://docs.google.com/spreadsheets/d/1XL5vhW3sbDhbH9Cz0tuDiY8C3ctxq1tqvaCgkFb8cCA/edit?usp=sharing"",""อำนาจเจริญ!I185"")"),15)</f>
        <v>15</v>
      </c>
      <c r="J270" s="316">
        <f ca="1">IFERROR(__xludf.DUMMYFUNCTION("IMPORTRANGE(""https://docs.google.com/spreadsheets/d/1XL5vhW3sbDhbH9Cz0tuDiY8C3ctxq1tqvaCgkFb8cCA/edit?usp=sharing"",""อำนาจเจริญ!J185"")"),15)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54" t="s">
        <v>17</v>
      </c>
      <c r="E271" s="555"/>
      <c r="F271" s="555"/>
      <c r="G271" s="555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25510</v>
      </c>
      <c r="O271" s="151">
        <f t="shared" ref="O271:O273" ca="1" si="84">IF(L271&gt;0,N271*100/L271,0)</f>
        <v>46.213768115942031</v>
      </c>
      <c r="P271" s="151">
        <f t="shared" ref="P271:P273" ca="1" si="85">IF(M271&gt;0,N271*100/M271,0)</f>
        <v>79.100775193798455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25510</v>
      </c>
      <c r="O273" s="156">
        <f t="shared" ca="1" si="84"/>
        <v>46.213768115942031</v>
      </c>
      <c r="P273" s="156">
        <f t="shared" ca="1" si="85"/>
        <v>79.100775193798455</v>
      </c>
    </row>
    <row r="274" spans="1:16" ht="21.75" customHeight="1" x14ac:dyDescent="0.45">
      <c r="A274" s="158"/>
      <c r="B274" s="159"/>
      <c r="C274" s="159" t="s">
        <v>16</v>
      </c>
      <c r="D274" s="552" t="s">
        <v>20</v>
      </c>
      <c r="E274" s="553"/>
      <c r="F274" s="55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537">
        <f ca="1">IFERROR(__xludf.DUMMYFUNCTION("IMPORTRANGE(""https://docs.google.com/spreadsheets/d/1Yj_ptqi66GCucihVvJfMjLAmec39IyEx_6qawtMGysU/edit?usp=sharing"",""สบก!CK55"")"),32250)</f>
        <v>32250</v>
      </c>
      <c r="N275" s="538">
        <f ca="1">IFERROR(__xludf.DUMMYFUNCTION("IMPORTRANGE(""https://docs.google.com/spreadsheets/d/1Yj_ptqi66GCucihVvJfMjLAmec39IyEx_6qawtMGysU/edit?usp=sharing"",""สบก!CL55"")"),25510)</f>
        <v>25510</v>
      </c>
      <c r="O275" s="169">
        <f ca="1">IF(L275&gt;0,N275*100/L275,0)</f>
        <v>46.213768115942031</v>
      </c>
      <c r="P275" s="169">
        <f ca="1">IF(M275&gt;0,N275*100/M275,0)</f>
        <v>79.100775193798455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537">
        <f ca="1">IFERROR(__xludf.DUMMYFUNCTION("IMPORTRANGE(""https://docs.google.com/spreadsheets/d/1Yj_ptqi66GCucihVvJfMjLAmec39IyEx_6qawtMGysU/edit?usp=sharing"",""สบก!CG55"")"),0)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537">
        <f ca="1">IFERROR(__xludf.DUMMYFUNCTION("IMPORTRANGE(""https://docs.google.com/spreadsheets/d/1Yj_ptqi66GCucihVvJfMjLAmec39IyEx_6qawtMGysU/edit?usp=sharing"",""สบก!CH55"")"),55200)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52" t="s">
        <v>23</v>
      </c>
      <c r="E278" s="553"/>
      <c r="F278" s="89"/>
      <c r="G278" s="82" t="s">
        <v>18</v>
      </c>
      <c r="H278" s="172" t="s">
        <v>12</v>
      </c>
      <c r="I278" s="162"/>
      <c r="J278" s="162"/>
      <c r="K278" s="163"/>
      <c r="L278" s="535">
        <v>0</v>
      </c>
      <c r="M278" s="535"/>
      <c r="N278" s="41"/>
      <c r="O278" s="535"/>
      <c r="P278" s="535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533">
        <f ca="1">IFERROR(__xludf.DUMMYFUNCTION("IMPORTRANGE(""https://docs.google.com/spreadsheets/d/1Yj_ptqi66GCucihVvJfMjLAmec39IyEx_6qawtMGysU/edit?usp=sharing"",""สบก!CI55"")"),0)</f>
        <v>0</v>
      </c>
      <c r="M279" s="536"/>
      <c r="N279" s="533">
        <f ca="1">IFERROR(__xludf.DUMMYFUNCTION("IMPORTRANGE(""https://docs.google.com/spreadsheets/d/1Yj_ptqi66GCucihVvJfMjLAmec39IyEx_6qawtMGysU/edit?usp=sharing"",""สบก!CM55"")"),0)</f>
        <v>0</v>
      </c>
      <c r="O279" s="536">
        <f ca="1">IF(L279&gt;0,N279*100/L279,0)</f>
        <v>0</v>
      </c>
      <c r="P279" s="536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IFERROR(__xludf.DUMMYFUNCTION("IMPORTRANGE(""https://docs.google.com/spreadsheets/d/1XL5vhW3sbDhbH9Cz0tuDiY8C3ctxq1tqvaCgkFb8cCA/edit?usp=sharing"",""อำนาจเจริญ!J191"")"),0)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IFERROR(__xludf.DUMMYFUNCTION("IMPORTRANGE(""https://docs.google.com/spreadsheets/d/1XL5vhW3sbDhbH9Cz0tuDiY8C3ctxq1tqvaCgkFb8cCA/edit?usp=sharing"",""อำนาจเจริญ!J192"")"),1)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IFERROR(__xludf.DUMMYFUNCTION("IMPORTRANGE(""https://docs.google.com/spreadsheets/d/1XL5vhW3sbDhbH9Cz0tuDiY8C3ctxq1tqvaCgkFb8cCA/edit?usp=sharing"",""อำนาจเจริญ!J193"")"),1)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IFERROR(__xludf.DUMMYFUNCTION("IMPORTRANGE(""https://docs.google.com/spreadsheets/d/1XL5vhW3sbDhbH9Cz0tuDiY8C3ctxq1tqvaCgkFb8cCA/edit?usp=sharing"",""อำนาจเจริญ!J194"")"),1)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IFERROR(__xludf.DUMMYFUNCTION("IMPORTRANGE(""https://docs.google.com/spreadsheets/d/1XL5vhW3sbDhbH9Cz0tuDiY8C3ctxq1tqvaCgkFb8cCA/edit?usp=sharing"",""อำนาจเจริญ!I195"")"),15)</f>
        <v>15</v>
      </c>
      <c r="J285" s="189">
        <f ca="1">IFERROR(__xludf.DUMMYFUNCTION("IMPORTRANGE(""https://docs.google.com/spreadsheets/d/1XL5vhW3sbDhbH9Cz0tuDiY8C3ctxq1tqvaCgkFb8cCA/edit?usp=sharing"",""อำนาจเจริญ!J195"")"),15)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IFERROR(__xludf.DUMMYFUNCTION("IMPORTRANGE(""https://docs.google.com/spreadsheets/d/1XL5vhW3sbDhbH9Cz0tuDiY8C3ctxq1tqvaCgkFb8cCA/edit?usp=sharing"",""อำนาจเจริญ!J196"")"),0)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IFERROR(__xludf.DUMMYFUNCTION("IMPORTRANGE(""https://docs.google.com/spreadsheets/d/1XL5vhW3sbDhbH9Cz0tuDiY8C3ctxq1tqvaCgkFb8cCA/edit?usp=sharing"",""อำนาจเจริญ!J197"")"),0)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IFERROR(__xludf.DUMMYFUNCTION("IMPORTRANGE(""https://docs.google.com/spreadsheets/d/1XL5vhW3sbDhbH9Cz0tuDiY8C3ctxq1tqvaCgkFb8cCA/edit?usp=sharing"",""อำนาจเจริญ!I199"")"),0)</f>
        <v>0</v>
      </c>
      <c r="J289" s="316">
        <f ca="1">IFERROR(__xludf.DUMMYFUNCTION("IMPORTRANGE(""https://docs.google.com/spreadsheets/d/1XL5vhW3sbDhbH9Cz0tuDiY8C3ctxq1tqvaCgkFb8cCA/edit?usp=sharing"",""อำนาจเจริญ!J199"")"),0)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54" t="s">
        <v>17</v>
      </c>
      <c r="E290" s="555"/>
      <c r="F290" s="555"/>
      <c r="G290" s="55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52" t="s">
        <v>20</v>
      </c>
      <c r="E293" s="553"/>
      <c r="F293" s="55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537">
        <f ca="1">IFERROR(__xludf.DUMMYFUNCTION("IMPORTRANGE(""https://docs.google.com/spreadsheets/d/1Yj_ptqi66GCucihVvJfMjLAmec39IyEx_6qawtMGysU/edit?usp=sharing"",""สบก!CT55"")"),0)</f>
        <v>0</v>
      </c>
      <c r="N294" s="538">
        <f ca="1">IFERROR(__xludf.DUMMYFUNCTION("IMPORTRANGE(""https://docs.google.com/spreadsheets/d/1Yj_ptqi66GCucihVvJfMjLAmec39IyEx_6qawtMGysU/edit?usp=sharing"",""สบก!CU55"")"),0)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537">
        <f ca="1">IFERROR(__xludf.DUMMYFUNCTION("IMPORTRANGE(""https://docs.google.com/spreadsheets/d/1Yj_ptqi66GCucihVvJfMjLAmec39IyEx_6qawtMGysU/edit?usp=sharing"",""สบก!CP55"")"),0)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537">
        <f ca="1">IFERROR(__xludf.DUMMYFUNCTION("IMPORTRANGE(""https://docs.google.com/spreadsheets/d/1Yj_ptqi66GCucihVvJfMjLAmec39IyEx_6qawtMGysU/edit?usp=sharing"",""สบก!CQ55"")"),0)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52" t="s">
        <v>23</v>
      </c>
      <c r="E297" s="553"/>
      <c r="F297" s="89"/>
      <c r="G297" s="82" t="s">
        <v>18</v>
      </c>
      <c r="H297" s="172" t="s">
        <v>12</v>
      </c>
      <c r="I297" s="188"/>
      <c r="J297" s="188"/>
      <c r="K297" s="224"/>
      <c r="L297" s="535">
        <v>0</v>
      </c>
      <c r="M297" s="535"/>
      <c r="N297" s="41"/>
      <c r="O297" s="535"/>
      <c r="P297" s="535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533">
        <f ca="1">IFERROR(__xludf.DUMMYFUNCTION("IMPORTRANGE(""https://docs.google.com/spreadsheets/d/1Yj_ptqi66GCucihVvJfMjLAmec39IyEx_6qawtMGysU/edit?usp=sharing"",""สบก!CR55"")"),0)</f>
        <v>0</v>
      </c>
      <c r="M298" s="536"/>
      <c r="N298" s="533">
        <f ca="1">IFERROR(__xludf.DUMMYFUNCTION("IMPORTRANGE(""https://docs.google.com/spreadsheets/d/1Yj_ptqi66GCucihVvJfMjLAmec39IyEx_6qawtMGysU/edit?usp=sharing"",""สบก!CV55"")"),0)</f>
        <v>0</v>
      </c>
      <c r="O298" s="536">
        <f ca="1">IF(L298&gt;0,N298*100/L298,0)</f>
        <v>0</v>
      </c>
      <c r="P298" s="536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IFERROR(__xludf.DUMMYFUNCTION("IMPORTRANGE(""https://docs.google.com/spreadsheets/d/1XL5vhW3sbDhbH9Cz0tuDiY8C3ctxq1tqvaCgkFb8cCA/edit?usp=sharing"",""อำนาจเจริญ!J205"")"),0)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IFERROR(__xludf.DUMMYFUNCTION("IMPORTRANGE(""https://docs.google.com/spreadsheets/d/1XL5vhW3sbDhbH9Cz0tuDiY8C3ctxq1tqvaCgkFb8cCA/edit?usp=sharing"",""อำนาจเจริญ!J206"")"),0)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IFERROR(__xludf.DUMMYFUNCTION("IMPORTRANGE(""https://docs.google.com/spreadsheets/d/1XL5vhW3sbDhbH9Cz0tuDiY8C3ctxq1tqvaCgkFb8cCA/edit?usp=sharing"",""อำนาจเจริญ!J207"")"),0)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IFERROR(__xludf.DUMMYFUNCTION("IMPORTRANGE(""https://docs.google.com/spreadsheets/d/1XL5vhW3sbDhbH9Cz0tuDiY8C3ctxq1tqvaCgkFb8cCA/edit?usp=sharing"",""อำนาจเจริญ!J208"")"),0)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IFERROR(__xludf.DUMMYFUNCTION("IMPORTRANGE(""https://docs.google.com/spreadsheets/d/1XL5vhW3sbDhbH9Cz0tuDiY8C3ctxq1tqvaCgkFb8cCA/edit?usp=sharing"",""อำนาจเจริญ!I209"")"),0)</f>
        <v>0</v>
      </c>
      <c r="J304" s="204">
        <f ca="1">IFERROR(__xludf.DUMMYFUNCTION("IMPORTRANGE(""https://docs.google.com/spreadsheets/d/1XL5vhW3sbDhbH9Cz0tuDiY8C3ctxq1tqvaCgkFb8cCA/edit?usp=sharing"",""อำนาจเจริญ!J209"")"),0)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IFERROR(__xludf.DUMMYFUNCTION("IMPORTRANGE(""https://docs.google.com/spreadsheets/d/1XL5vhW3sbDhbH9Cz0tuDiY8C3ctxq1tqvaCgkFb8cCA/edit?usp=sharing"",""อำนาจเจริญ!I211"")"),0)</f>
        <v>0</v>
      </c>
      <c r="J306" s="204">
        <f ca="1">IFERROR(__xludf.DUMMYFUNCTION("IMPORTRANGE(""https://docs.google.com/spreadsheets/d/1XL5vhW3sbDhbH9Cz0tuDiY8C3ctxq1tqvaCgkFb8cCA/edit?usp=sharing"",""อำนาจเจริญ!J211"")"),0)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IFERROR(__xludf.DUMMYFUNCTION("IMPORTRANGE(""https://docs.google.com/spreadsheets/d/1XL5vhW3sbDhbH9Cz0tuDiY8C3ctxq1tqvaCgkFb8cCA/edit?usp=sharing"",""อำนาจเจริญ!J212"")"),0)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IFERROR(__xludf.DUMMYFUNCTION("IMPORTRANGE(""https://docs.google.com/spreadsheets/d/1XL5vhW3sbDhbH9Cz0tuDiY8C3ctxq1tqvaCgkFb8cCA/edit?usp=sharing"",""อำนาจเจริญ!J213"")"),0)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IFERROR(__xludf.DUMMYFUNCTION("IMPORTRANGE(""https://docs.google.com/spreadsheets/d/1XL5vhW3sbDhbH9Cz0tuDiY8C3ctxq1tqvaCgkFb8cCA/edit?usp=sharing"",""อำนาจเจริญ!I214"")"),0)</f>
        <v>0</v>
      </c>
      <c r="J309" s="333">
        <f ca="1">IFERROR(__xludf.DUMMYFUNCTION("IMPORTRANGE(""https://docs.google.com/spreadsheets/d/1XL5vhW3sbDhbH9Cz0tuDiY8C3ctxq1tqvaCgkFb8cCA/edit?usp=sharing"",""อำนาจเจริญ!J214"")"),0)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54" t="s">
        <v>17</v>
      </c>
      <c r="E310" s="555"/>
      <c r="F310" s="555"/>
      <c r="G310" s="55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52" t="s">
        <v>20</v>
      </c>
      <c r="E313" s="553"/>
      <c r="F313" s="55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537">
        <f ca="1">IFERROR(__xludf.DUMMYFUNCTION("IMPORTRANGE(""https://docs.google.com/spreadsheets/d/1Yj_ptqi66GCucihVvJfMjLAmec39IyEx_6qawtMGysU/edit?usp=sharing"",""สบก!DC55"")"),0)</f>
        <v>0</v>
      </c>
      <c r="N314" s="538">
        <f ca="1">IFERROR(__xludf.DUMMYFUNCTION("IMPORTRANGE(""https://docs.google.com/spreadsheets/d/1Yj_ptqi66GCucihVvJfMjLAmec39IyEx_6qawtMGysU/edit?usp=sharing"",""สบก!DD55"")"),0)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537">
        <f ca="1">IFERROR(__xludf.DUMMYFUNCTION("IMPORTRANGE(""https://docs.google.com/spreadsheets/d/1Yj_ptqi66GCucihVvJfMjLAmec39IyEx_6qawtMGysU/edit?usp=sharing"",""สบก!CY55"")"),0)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537">
        <f ca="1">IFERROR(__xludf.DUMMYFUNCTION("IMPORTRANGE(""https://docs.google.com/spreadsheets/d/1Yj_ptqi66GCucihVvJfMjLAmec39IyEx_6qawtMGysU/edit?usp=sharing"",""สบก!CZ55"")"),0)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52" t="s">
        <v>23</v>
      </c>
      <c r="E317" s="553"/>
      <c r="F317" s="89"/>
      <c r="G317" s="82" t="s">
        <v>18</v>
      </c>
      <c r="H317" s="172" t="s">
        <v>12</v>
      </c>
      <c r="I317" s="162"/>
      <c r="J317" s="188"/>
      <c r="K317" s="224"/>
      <c r="L317" s="535">
        <v>0</v>
      </c>
      <c r="M317" s="535"/>
      <c r="N317" s="41"/>
      <c r="O317" s="535"/>
      <c r="P317" s="535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533">
        <f ca="1">IFERROR(__xludf.DUMMYFUNCTION("IMPORTRANGE(""https://docs.google.com/spreadsheets/d/1Yj_ptqi66GCucihVvJfMjLAmec39IyEx_6qawtMGysU/edit?usp=sharing"",""สบก!DA55"")"),0)</f>
        <v>0</v>
      </c>
      <c r="M318" s="536"/>
      <c r="N318" s="533">
        <f ca="1">IFERROR(__xludf.DUMMYFUNCTION("IMPORTRANGE(""https://docs.google.com/spreadsheets/d/1Yj_ptqi66GCucihVvJfMjLAmec39IyEx_6qawtMGysU/edit?usp=sharing"",""สบก!DE55"")"),0)</f>
        <v>0</v>
      </c>
      <c r="O318" s="536">
        <f ca="1">IF(L318&gt;0,N318*100/L318,0)</f>
        <v>0</v>
      </c>
      <c r="P318" s="536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IFERROR(__xludf.DUMMYFUNCTION("IMPORTRANGE(""https://docs.google.com/spreadsheets/d/1XL5vhW3sbDhbH9Cz0tuDiY8C3ctxq1tqvaCgkFb8cCA/edit?usp=sharing"",""อำนาจเจริญ!J220"")"),0)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IFERROR(__xludf.DUMMYFUNCTION("IMPORTRANGE(""https://docs.google.com/spreadsheets/d/1XL5vhW3sbDhbH9Cz0tuDiY8C3ctxq1tqvaCgkFb8cCA/edit?usp=sharing"",""อำนาจเจริญ!J221"")"),0)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IFERROR(__xludf.DUMMYFUNCTION("IMPORTRANGE(""https://docs.google.com/spreadsheets/d/1XL5vhW3sbDhbH9Cz0tuDiY8C3ctxq1tqvaCgkFb8cCA/edit?usp=sharing"",""อำนาจเจริญ!J222"")"),0)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IFERROR(__xludf.DUMMYFUNCTION("IMPORTRANGE(""https://docs.google.com/spreadsheets/d/1XL5vhW3sbDhbH9Cz0tuDiY8C3ctxq1tqvaCgkFb8cCA/edit?usp=sharing"",""อำนาจเจริญ!J223"")"),0)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IFERROR(__xludf.DUMMYFUNCTION("IMPORTRANGE(""https://docs.google.com/spreadsheets/d/1XL5vhW3sbDhbH9Cz0tuDiY8C3ctxq1tqvaCgkFb8cCA/edit?usp=sharing"",""อำนาจเจริญ!I224"")"),0)</f>
        <v>0</v>
      </c>
      <c r="J324" s="204">
        <f ca="1">IFERROR(__xludf.DUMMYFUNCTION("IMPORTRANGE(""https://docs.google.com/spreadsheets/d/1XL5vhW3sbDhbH9Cz0tuDiY8C3ctxq1tqvaCgkFb8cCA/edit?usp=sharing"",""อำนาจเจริญ!J224"")"),0)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IFERROR(__xludf.DUMMYFUNCTION("IMPORTRANGE(""https://docs.google.com/spreadsheets/d/1XL5vhW3sbDhbH9Cz0tuDiY8C3ctxq1tqvaCgkFb8cCA/edit?usp=sharing"",""อำนาจเจริญ!J225"")"),0)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IFERROR(__xludf.DUMMYFUNCTION("IMPORTRANGE(""https://docs.google.com/spreadsheets/d/1XL5vhW3sbDhbH9Cz0tuDiY8C3ctxq1tqvaCgkFb8cCA/edit?usp=sharing"",""อำนาจเจริญ!J226"")"),0)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IFERROR(__xludf.DUMMYFUNCTION("IMPORTRANGE(""https://docs.google.com/spreadsheets/d/1XL5vhW3sbDhbH9Cz0tuDiY8C3ctxq1tqvaCgkFb8cCA/edit?usp=sharing"",""อำนาจเจริญ!I228"")"),190)</f>
        <v>190</v>
      </c>
      <c r="J328" s="339">
        <f ca="1">IFERROR(__xludf.DUMMYFUNCTION("IMPORTRANGE(""https://docs.google.com/spreadsheets/d/1XL5vhW3sbDhbH9Cz0tuDiY8C3ctxq1tqvaCgkFb8cCA/edit?usp=sharing"",""อำนาจเจริญ!J228"")"),157)</f>
        <v>157</v>
      </c>
      <c r="K328" s="317">
        <f ca="1">IF(I328&gt;0,J328*100/I328,0)</f>
        <v>82.631578947368425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54" t="s">
        <v>17</v>
      </c>
      <c r="E329" s="555"/>
      <c r="F329" s="555"/>
      <c r="G329" s="555"/>
      <c r="H329" s="149" t="s">
        <v>12</v>
      </c>
      <c r="I329" s="162"/>
      <c r="J329" s="162"/>
      <c r="K329" s="163"/>
      <c r="L329" s="152">
        <f t="shared" ref="L329:N329" ca="1" si="98">L330+L331</f>
        <v>645030</v>
      </c>
      <c r="M329" s="152">
        <f t="shared" ca="1" si="98"/>
        <v>478270</v>
      </c>
      <c r="N329" s="152">
        <f t="shared" ca="1" si="98"/>
        <v>330405</v>
      </c>
      <c r="O329" s="151">
        <f t="shared" ref="O329:O331" ca="1" si="99">IF(L329&gt;0,N329*100/L329,0)</f>
        <v>51.223198920980423</v>
      </c>
      <c r="P329" s="151">
        <f t="shared" ref="P329:P331" ca="1" si="100">IF(M329&gt;0,N329*100/M329,0)</f>
        <v>69.083362953979972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645030</v>
      </c>
      <c r="M331" s="157">
        <f t="shared" ca="1" si="102"/>
        <v>478270</v>
      </c>
      <c r="N331" s="157">
        <f t="shared" ca="1" si="102"/>
        <v>330405</v>
      </c>
      <c r="O331" s="156">
        <f t="shared" ca="1" si="99"/>
        <v>51.223198920980423</v>
      </c>
      <c r="P331" s="156">
        <f t="shared" ca="1" si="100"/>
        <v>69.083362953979972</v>
      </c>
    </row>
    <row r="332" spans="1:16" ht="21.75" customHeight="1" x14ac:dyDescent="0.45">
      <c r="A332" s="158"/>
      <c r="B332" s="159"/>
      <c r="C332" s="159" t="s">
        <v>16</v>
      </c>
      <c r="D332" s="552" t="s">
        <v>20</v>
      </c>
      <c r="E332" s="553"/>
      <c r="F332" s="55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608530</v>
      </c>
      <c r="M333" s="537">
        <f ca="1">IFERROR(__xludf.DUMMYFUNCTION("IMPORTRANGE(""https://docs.google.com/spreadsheets/d/1Yj_ptqi66GCucihVvJfMjLAmec39IyEx_6qawtMGysU/edit?usp=sharing"",""สบก!DL55"")"),441770)</f>
        <v>441770</v>
      </c>
      <c r="N333" s="538">
        <f ca="1">IFERROR(__xludf.DUMMYFUNCTION("IMPORTRANGE(""https://docs.google.com/spreadsheets/d/1Yj_ptqi66GCucihVvJfMjLAmec39IyEx_6qawtMGysU/edit?usp=sharing"",""สบก!DM55"")"),293905)</f>
        <v>293905</v>
      </c>
      <c r="O333" s="169">
        <f ca="1">IF(L333&gt;0,N333*100/L333,0)</f>
        <v>48.297536686769753</v>
      </c>
      <c r="P333" s="169">
        <f ca="1">IF(M333&gt;0,N333*100/M333,0)</f>
        <v>66.528963035063498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537">
        <f ca="1">IFERROR(__xludf.DUMMYFUNCTION("IMPORTRANGE(""https://docs.google.com/spreadsheets/d/1Yj_ptqi66GCucihVvJfMjLAmec39IyEx_6qawtMGysU/edit?usp=sharing"",""สบก!DH55"")"),306000)</f>
        <v>306000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537">
        <f ca="1">IFERROR(__xludf.DUMMYFUNCTION("IMPORTRANGE(""https://docs.google.com/spreadsheets/d/1Yj_ptqi66GCucihVvJfMjLAmec39IyEx_6qawtMGysU/edit?usp=sharing"",""สบก!DI55"")"),302530)</f>
        <v>302530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52" t="s">
        <v>23</v>
      </c>
      <c r="E336" s="553"/>
      <c r="F336" s="89"/>
      <c r="G336" s="82" t="s">
        <v>18</v>
      </c>
      <c r="H336" s="172" t="s">
        <v>12</v>
      </c>
      <c r="I336" s="162"/>
      <c r="J336" s="162"/>
      <c r="K336" s="163"/>
      <c r="L336" s="535">
        <v>0</v>
      </c>
      <c r="M336" s="535"/>
      <c r="N336" s="41"/>
      <c r="O336" s="535"/>
      <c r="P336" s="535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533">
        <f ca="1">IFERROR(__xludf.DUMMYFUNCTION("IMPORTRANGE(""https://docs.google.com/spreadsheets/d/1Yj_ptqi66GCucihVvJfMjLAmec39IyEx_6qawtMGysU/edit?usp=sharing"",""สบก!DJ55"")"),36500)</f>
        <v>36500</v>
      </c>
      <c r="M337" s="536">
        <f ca="1">L337</f>
        <v>36500</v>
      </c>
      <c r="N337" s="533">
        <f ca="1">IFERROR(__xludf.DUMMYFUNCTION("IMPORTRANGE(""https://docs.google.com/spreadsheets/d/1Yj_ptqi66GCucihVvJfMjLAmec39IyEx_6qawtMGysU/edit?usp=sharing"",""สบก!DN55"")"),36500)</f>
        <v>36500</v>
      </c>
      <c r="O337" s="536">
        <f ca="1">IF(L337&gt;0,N337*100/L337,0)</f>
        <v>100</v>
      </c>
      <c r="P337" s="536">
        <f ca="1">IF(M337&gt;0,N337*100/M337,0)</f>
        <v>100</v>
      </c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IFERROR(__xludf.DUMMYFUNCTION("IMPORTRANGE(""https://docs.google.com/spreadsheets/d/1XL5vhW3sbDhbH9Cz0tuDiY8C3ctxq1tqvaCgkFb8cCA/edit?usp=sharing"",""อำนาจเจริญ!I234"")"),0)</f>
        <v>0</v>
      </c>
      <c r="J339" s="188">
        <f ca="1">IFERROR(__xludf.DUMMYFUNCTION("IMPORTRANGE(""https://docs.google.com/spreadsheets/d/1XL5vhW3sbDhbH9Cz0tuDiY8C3ctxq1tqvaCgkFb8cCA/edit?usp=sharing"",""อำนาจเจริญ!J234"")"),131)</f>
        <v>131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IFERROR(__xludf.DUMMYFUNCTION("IMPORTRANGE(""https://docs.google.com/spreadsheets/d/1XL5vhW3sbDhbH9Cz0tuDiY8C3ctxq1tqvaCgkFb8cCA/edit?usp=sharing"",""อำนาจเจริญ!I235"")"),1300)</f>
        <v>1300</v>
      </c>
      <c r="J340" s="188">
        <f ca="1">IFERROR(__xludf.DUMMYFUNCTION("IMPORTRANGE(""https://docs.google.com/spreadsheets/d/1XL5vhW3sbDhbH9Cz0tuDiY8C3ctxq1tqvaCgkFb8cCA/edit?usp=sharing"",""อำนาจเจริญ!J235"")"),1337.11)</f>
        <v>1337.11</v>
      </c>
      <c r="K340" s="342">
        <f t="shared" ca="1" si="103"/>
        <v>102.85461538461539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IFERROR(__xludf.DUMMYFUNCTION("IMPORTRANGE(""https://docs.google.com/spreadsheets/d/1XL5vhW3sbDhbH9Cz0tuDiY8C3ctxq1tqvaCgkFb8cCA/edit?usp=sharing"",""อำนาจเจริญ!I236"")"),190)</f>
        <v>190</v>
      </c>
      <c r="J341" s="188">
        <f ca="1">IFERROR(__xludf.DUMMYFUNCTION("IMPORTRANGE(""https://docs.google.com/spreadsheets/d/1XL5vhW3sbDhbH9Cz0tuDiY8C3ctxq1tqvaCgkFb8cCA/edit?usp=sharing"",""อำนาจเจริญ!J236"")"),173)</f>
        <v>173</v>
      </c>
      <c r="K341" s="342">
        <f t="shared" ca="1" si="103"/>
        <v>91.05263157894737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IFERROR(__xludf.DUMMYFUNCTION("IMPORTRANGE(""https://docs.google.com/spreadsheets/d/1XL5vhW3sbDhbH9Cz0tuDiY8C3ctxq1tqvaCgkFb8cCA/edit?usp=sharing"",""อำนาจเจริญ!I237"")"),0)</f>
        <v>0</v>
      </c>
      <c r="J342" s="188">
        <f ca="1">IFERROR(__xludf.DUMMYFUNCTION("IMPORTRANGE(""https://docs.google.com/spreadsheets/d/1XL5vhW3sbDhbH9Cz0tuDiY8C3ctxq1tqvaCgkFb8cCA/edit?usp=sharing"",""อำนาจเจริญ!J237"")"),1635.36)</f>
        <v>1635.36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IFERROR(__xludf.DUMMYFUNCTION("IMPORTRANGE(""https://docs.google.com/spreadsheets/d/1XL5vhW3sbDhbH9Cz0tuDiY8C3ctxq1tqvaCgkFb8cCA/edit?usp=sharing"",""อำนาจเจริญ!I238"")"),190)</f>
        <v>190</v>
      </c>
      <c r="J343" s="188">
        <f ca="1">IFERROR(__xludf.DUMMYFUNCTION("IMPORTRANGE(""https://docs.google.com/spreadsheets/d/1XL5vhW3sbDhbH9Cz0tuDiY8C3ctxq1tqvaCgkFb8cCA/edit?usp=sharing"",""อำนาจเจริญ!J238"")"),9)</f>
        <v>9</v>
      </c>
      <c r="K343" s="342">
        <f t="shared" ca="1" si="103"/>
        <v>4.7368421052631575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IFERROR(__xludf.DUMMYFUNCTION("IMPORTRANGE(""https://docs.google.com/spreadsheets/d/1XL5vhW3sbDhbH9Cz0tuDiY8C3ctxq1tqvaCgkFb8cCA/edit?usp=sharing"",""อำนาจเจริญ!I239"")"),0)</f>
        <v>0</v>
      </c>
      <c r="J344" s="188">
        <f ca="1">IFERROR(__xludf.DUMMYFUNCTION("IMPORTRANGE(""https://docs.google.com/spreadsheets/d/1XL5vhW3sbDhbH9Cz0tuDiY8C3ctxq1tqvaCgkFb8cCA/edit?usp=sharing"",""อำนาจเจริญ!J239"")"),56.88)</f>
        <v>56.88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IFERROR(__xludf.DUMMYFUNCTION("IMPORTRANGE(""https://docs.google.com/spreadsheets/d/1XL5vhW3sbDhbH9Cz0tuDiY8C3ctxq1tqvaCgkFb8cCA/edit?usp=sharing"",""อำนาจเจริญ!I240"")"),190)</f>
        <v>190</v>
      </c>
      <c r="J345" s="188">
        <f ca="1">IFERROR(__xludf.DUMMYFUNCTION("IMPORTRANGE(""https://docs.google.com/spreadsheets/d/1XL5vhW3sbDhbH9Cz0tuDiY8C3ctxq1tqvaCgkFb8cCA/edit?usp=sharing"",""อำนาจเจริญ!J240"")"),157)</f>
        <v>157</v>
      </c>
      <c r="K345" s="342">
        <f t="shared" ca="1" si="103"/>
        <v>82.631578947368425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IFERROR(__xludf.DUMMYFUNCTION("IMPORTRANGE(""https://docs.google.com/spreadsheets/d/1XL5vhW3sbDhbH9Cz0tuDiY8C3ctxq1tqvaCgkFb8cCA/edit?usp=sharing"",""อำนาจเจริญ!I241"")"),0)</f>
        <v>0</v>
      </c>
      <c r="J346" s="188">
        <f ca="1">IFERROR(__xludf.DUMMYFUNCTION("IMPORTRANGE(""https://docs.google.com/spreadsheets/d/1XL5vhW3sbDhbH9Cz0tuDiY8C3ctxq1tqvaCgkFb8cCA/edit?usp=sharing"",""อำนาจเจริญ!J241"")"),1446.93999999999)</f>
        <v>1446.9399999999901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IFERROR(__xludf.DUMMYFUNCTION("IMPORTRANGE(""https://docs.google.com/spreadsheets/d/1XL5vhW3sbDhbH9Cz0tuDiY8C3ctxq1tqvaCgkFb8cCA/edit?usp=sharing"",""อำนาจเจริญ!L242"")"),1401344)</f>
        <v>1401344</v>
      </c>
      <c r="M347" s="358"/>
      <c r="N347" s="358">
        <f ca="1">IFERROR(__xludf.DUMMYFUNCTION("IMPORTRANGE(""https://docs.google.com/spreadsheets/d/1XL5vhW3sbDhbH9Cz0tuDiY8C3ctxq1tqvaCgkFb8cCA/edit?usp=sharing"",""อำนาจเจริญ!M242"")"),486039)</f>
        <v>486039</v>
      </c>
      <c r="O347" s="358">
        <f ca="1">+IF(L347&gt;0,N347*100/L347,0)</f>
        <v>34.683775004567046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IFERROR(__xludf.DUMMYFUNCTION("IMPORTRANGE(""https://docs.google.com/spreadsheets/d/1XL5vhW3sbDhbH9Cz0tuDiY8C3ctxq1tqvaCgkFb8cCA/edit?usp=sharing"",""อำนาจเจริญ!I244"")"),120)</f>
        <v>120</v>
      </c>
      <c r="J349" s="371">
        <f ca="1">IFERROR(__xludf.DUMMYFUNCTION("IMPORTRANGE(""https://docs.google.com/spreadsheets/d/1XL5vhW3sbDhbH9Cz0tuDiY8C3ctxq1tqvaCgkFb8cCA/edit?usp=sharing"",""อำนาจเจริญ!J244"")"),120)</f>
        <v>120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IFERROR(__xludf.DUMMYFUNCTION("IMPORTRANGE(""https://docs.google.com/spreadsheets/d/1XL5vhW3sbDhbH9Cz0tuDiY8C3ctxq1tqvaCgkFb8cCA/edit?usp=sharing"",""อำนาจเจริญ!L244"")"),323260)</f>
        <v>323260</v>
      </c>
      <c r="M349" s="373"/>
      <c r="N349" s="373">
        <f ca="1">IFERROR(__xludf.DUMMYFUNCTION("IMPORTRANGE(""https://docs.google.com/spreadsheets/d/1XL5vhW3sbDhbH9Cz0tuDiY8C3ctxq1tqvaCgkFb8cCA/edit?usp=sharing"",""อำนาจเจริญ!M244"")"),213070)</f>
        <v>213070</v>
      </c>
      <c r="O349" s="373">
        <f ca="1">+IF(L349&gt;0,N349*100/L349,0)</f>
        <v>65.912887459011316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IFERROR(__xludf.DUMMYFUNCTION("IMPORTRANGE(""https://docs.google.com/spreadsheets/d/1XL5vhW3sbDhbH9Cz0tuDiY8C3ctxq1tqvaCgkFb8cCA/edit?usp=sharing"",""อำนาจเจริญ!I245"")"),30)</f>
        <v>30</v>
      </c>
      <c r="J350" s="371">
        <f ca="1">IFERROR(__xludf.DUMMYFUNCTION("IMPORTRANGE(""https://docs.google.com/spreadsheets/d/1XL5vhW3sbDhbH9Cz0tuDiY8C3ctxq1tqvaCgkFb8cCA/edit?usp=sharing"",""อำนาจเจริญ!J245"")"),30)</f>
        <v>30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IFERROR(__xludf.DUMMYFUNCTION("IMPORTRANGE(""https://docs.google.com/spreadsheets/d/1XL5vhW3sbDhbH9Cz0tuDiY8C3ctxq1tqvaCgkFb8cCA/edit?usp=sharing"",""อำนาจเจริญ!L246"")"),0)</f>
        <v>0</v>
      </c>
      <c r="M351" s="164"/>
      <c r="N351" s="164">
        <f ca="1">IFERROR(__xludf.DUMMYFUNCTION("IMPORTRANGE(""https://docs.google.com/spreadsheets/d/1XL5vhW3sbDhbH9Cz0tuDiY8C3ctxq1tqvaCgkFb8cCA/edit?usp=sharing"",""อำนาจเจริญ!M246"")"),0)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IFERROR(__xludf.DUMMYFUNCTION("IMPORTRANGE(""https://docs.google.com/spreadsheets/d/1XL5vhW3sbDhbH9Cz0tuDiY8C3ctxq1tqvaCgkFb8cCA/edit?usp=sharing"",""อำนาจเจริญ!L247"")"),323260)</f>
        <v>323260</v>
      </c>
      <c r="M352" s="165"/>
      <c r="N352" s="164">
        <f ca="1">IFERROR(__xludf.DUMMYFUNCTION("IMPORTRANGE(""https://docs.google.com/spreadsheets/d/1XL5vhW3sbDhbH9Cz0tuDiY8C3ctxq1tqvaCgkFb8cCA/edit?usp=sharing"",""อำนาจเจริญ!M247"")"),213070)</f>
        <v>213070</v>
      </c>
      <c r="O352" s="165">
        <f t="shared" ca="1" si="105"/>
        <v>65.912887459011316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IFERROR(__xludf.DUMMYFUNCTION("IMPORTRANGE(""https://docs.google.com/spreadsheets/d/1XL5vhW3sbDhbH9Cz0tuDiY8C3ctxq1tqvaCgkFb8cCA/edit?usp=sharing"",""อำนาจเจริญ!L248"")"),0)</f>
        <v>0</v>
      </c>
      <c r="M353" s="169"/>
      <c r="N353" s="169">
        <f ca="1">IFERROR(__xludf.DUMMYFUNCTION("IMPORTRANGE(""https://docs.google.com/spreadsheets/d/1XL5vhW3sbDhbH9Cz0tuDiY8C3ctxq1tqvaCgkFb8cCA/edit?usp=sharing"",""อำนาจเจริญ!M248"")"),0)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IFERROR(__xludf.DUMMYFUNCTION("IMPORTRANGE(""https://docs.google.com/spreadsheets/d/1XL5vhW3sbDhbH9Cz0tuDiY8C3ctxq1tqvaCgkFb8cCA/edit?usp=sharing"",""อำนาจเจริญ!L249"")"),323260)</f>
        <v>323260</v>
      </c>
      <c r="M354" s="169"/>
      <c r="N354" s="168">
        <f ca="1">IFERROR(__xludf.DUMMYFUNCTION("IMPORTRANGE(""https://docs.google.com/spreadsheets/d/1XL5vhW3sbDhbH9Cz0tuDiY8C3ctxq1tqvaCgkFb8cCA/edit?usp=sharing"",""อำนาจเจริญ!M249"")"),213070)</f>
        <v>213070</v>
      </c>
      <c r="O354" s="169">
        <f t="shared" ca="1" si="105"/>
        <v>65.912887459011316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IFERROR(__xludf.DUMMYFUNCTION("IMPORTRANGE(""https://docs.google.com/spreadsheets/d/1XL5vhW3sbDhbH9Cz0tuDiY8C3ctxq1tqvaCgkFb8cCA/edit?usp=sharing"",""อำนาจเจริญ!M250"")"),39000)</f>
        <v>39000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IFERROR(__xludf.DUMMYFUNCTION("IMPORTRANGE(""https://docs.google.com/spreadsheets/d/1XL5vhW3sbDhbH9Cz0tuDiY8C3ctxq1tqvaCgkFb8cCA/edit?usp=sharing"",""อำนาจเจริญ!M251"")"),107500)</f>
        <v>107500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IFERROR(__xludf.DUMMYFUNCTION("IMPORTRANGE(""https://docs.google.com/spreadsheets/d/1XL5vhW3sbDhbH9Cz0tuDiY8C3ctxq1tqvaCgkFb8cCA/edit?usp=sharing"",""อำนาจเจริญ!M252"")"),56400)</f>
        <v>56400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IFERROR(__xludf.DUMMYFUNCTION("IMPORTRANGE(""https://docs.google.com/spreadsheets/d/1XL5vhW3sbDhbH9Cz0tuDiY8C3ctxq1tqvaCgkFb8cCA/edit?usp=sharing"",""อำนาจเจริญ!M253"")"),10170)</f>
        <v>10170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IFERROR(__xludf.DUMMYFUNCTION("IMPORTRANGE(""https://docs.google.com/spreadsheets/d/1XL5vhW3sbDhbH9Cz0tuDiY8C3ctxq1tqvaCgkFb8cCA/edit?usp=sharing"",""อำนาจเจริญ!J255"")"),0)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IFERROR(__xludf.DUMMYFUNCTION("IMPORTRANGE(""https://docs.google.com/spreadsheets/d/1XL5vhW3sbDhbH9Cz0tuDiY8C3ctxq1tqvaCgkFb8cCA/edit?usp=sharing"",""อำนาจเจริญ!J256"")"),1)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IFERROR(__xludf.DUMMYFUNCTION("IMPORTRANGE(""https://docs.google.com/spreadsheets/d/1XL5vhW3sbDhbH9Cz0tuDiY8C3ctxq1tqvaCgkFb8cCA/edit?usp=sharing"",""อำนาจเจริญ!J257"")"),1)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IFERROR(__xludf.DUMMYFUNCTION("IMPORTRANGE(""https://docs.google.com/spreadsheets/d/1XL5vhW3sbDhbH9Cz0tuDiY8C3ctxq1tqvaCgkFb8cCA/edit?usp=sharing"",""อำนาจเจริญ!J258"")"),1)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IFERROR(__xludf.DUMMYFUNCTION("IMPORTRANGE(""https://docs.google.com/spreadsheets/d/1XL5vhW3sbDhbH9Cz0tuDiY8C3ctxq1tqvaCgkFb8cCA/edit?usp=sharing"",""อำนาจเจริญ!J166"")"),0)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IFERROR(__xludf.DUMMYFUNCTION("IMPORTRANGE(""https://docs.google.com/spreadsheets/d/1XL5vhW3sbDhbH9Cz0tuDiY8C3ctxq1tqvaCgkFb8cCA/edit?usp=sharing"",""อำนาจเจริญ!J166"")"),0)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IFERROR(__xludf.DUMMYFUNCTION("IMPORTRANGE(""https://docs.google.com/spreadsheets/d/1XL5vhW3sbDhbH9Cz0tuDiY8C3ctxq1tqvaCgkFb8cCA/edit?usp=sharing"",""อำนาจเจริญ!J166"")"),0)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IFERROR(__xludf.DUMMYFUNCTION("IMPORTRANGE(""https://docs.google.com/spreadsheets/d/1XL5vhW3sbDhbH9Cz0tuDiY8C3ctxq1tqvaCgkFb8cCA/edit?usp=sharing"",""อำนาจเจริญ!J166"")"),0)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IFERROR(__xludf.DUMMYFUNCTION("IMPORTRANGE(""https://docs.google.com/spreadsheets/d/1XL5vhW3sbDhbH9Cz0tuDiY8C3ctxq1tqvaCgkFb8cCA/edit?usp=sharing"",""อำนาจเจริญ!I263"")"),30)</f>
        <v>30</v>
      </c>
      <c r="J368" s="188">
        <f ca="1">IFERROR(__xludf.DUMMYFUNCTION("IMPORTRANGE(""https://docs.google.com/spreadsheets/d/1XL5vhW3sbDhbH9Cz0tuDiY8C3ctxq1tqvaCgkFb8cCA/edit?usp=sharing"",""อำนาจเจริญ!J263"")"),30)</f>
        <v>30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IFERROR(__xludf.DUMMYFUNCTION("IMPORTRANGE(""https://docs.google.com/spreadsheets/d/1XL5vhW3sbDhbH9Cz0tuDiY8C3ctxq1tqvaCgkFb8cCA/edit?usp=sharing"",""อำนาจเจริญ!I164"")"),0)</f>
        <v>0</v>
      </c>
      <c r="J369" s="204">
        <f ca="1">IFERROR(__xludf.DUMMYFUNCTION("IMPORTRANGE(""https://docs.google.com/spreadsheets/d/1XL5vhW3sbDhbH9Cz0tuDiY8C3ctxq1tqvaCgkFb8cCA/edit?usp=sharing"",""อำนาจเจริญ!J164"")"),0)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293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IFERROR(__xludf.DUMMYFUNCTION("IMPORTRANGE(""https://docs.google.com/spreadsheets/d/1XL5vhW3sbDhbH9Cz0tuDiY8C3ctxq1tqvaCgkFb8cCA/edit?usp=sharing"",""อำนาจเจริญ!I265"")"),30)</f>
        <v>30</v>
      </c>
      <c r="J370" s="204">
        <f ca="1">IFERROR(__xludf.DUMMYFUNCTION("IMPORTRANGE(""https://docs.google.com/spreadsheets/d/1XL5vhW3sbDhbH9Cz0tuDiY8C3ctxq1tqvaCgkFb8cCA/edit?usp=sharing"",""อำนาจเจริญ!J265"")"),30)</f>
        <v>30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IFERROR(__xludf.DUMMYFUNCTION("IMPORTRANGE(""https://docs.google.com/spreadsheets/d/1XL5vhW3sbDhbH9Cz0tuDiY8C3ctxq1tqvaCgkFb8cCA/edit?usp=sharing"",""อำนาจเจริญ!I164"")"),0)</f>
        <v>0</v>
      </c>
      <c r="J371" s="189">
        <f ca="1">IFERROR(__xludf.DUMMYFUNCTION("IMPORTRANGE(""https://docs.google.com/spreadsheets/d/1XL5vhW3sbDhbH9Cz0tuDiY8C3ctxq1tqvaCgkFb8cCA/edit?usp=sharing"",""อำนาจเจริญ!J164"")"),0)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293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IFERROR(__xludf.DUMMYFUNCTION("IMPORTRANGE(""https://docs.google.com/spreadsheets/d/1XL5vhW3sbDhbH9Cz0tuDiY8C3ctxq1tqvaCgkFb8cCA/edit?usp=sharing"",""อำนาจเจริญ!I267"")"),30)</f>
        <v>30</v>
      </c>
      <c r="J372" s="189">
        <f ca="1">IFERROR(__xludf.DUMMYFUNCTION("IMPORTRANGE(""https://docs.google.com/spreadsheets/d/1XL5vhW3sbDhbH9Cz0tuDiY8C3ctxq1tqvaCgkFb8cCA/edit?usp=sharing"",""อำนาจเจริญ!J267"")"),30)</f>
        <v>30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IFERROR(__xludf.DUMMYFUNCTION("IMPORTRANGE(""https://docs.google.com/spreadsheets/d/1XL5vhW3sbDhbH9Cz0tuDiY8C3ctxq1tqvaCgkFb8cCA/edit?usp=sharing"",""อำนาจเจริญ!I164"")"),0)</f>
        <v>0</v>
      </c>
      <c r="J373" s="204">
        <f ca="1">IFERROR(__xludf.DUMMYFUNCTION("IMPORTRANGE(""https://docs.google.com/spreadsheets/d/1XL5vhW3sbDhbH9Cz0tuDiY8C3ctxq1tqvaCgkFb8cCA/edit?usp=sharing"",""อำนาจเจริญ!J164"")"),0)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IFERROR(__xludf.DUMMYFUNCTION("IMPORTRANGE(""https://docs.google.com/spreadsheets/d/1XL5vhW3sbDhbH9Cz0tuDiY8C3ctxq1tqvaCgkFb8cCA/edit?usp=sharing"",""อำนาจเจริญ!I164"")"),0)</f>
        <v>0</v>
      </c>
      <c r="J374" s="188">
        <f ca="1">IFERROR(__xludf.DUMMYFUNCTION("IMPORTRANGE(""https://docs.google.com/spreadsheets/d/1XL5vhW3sbDhbH9Cz0tuDiY8C3ctxq1tqvaCgkFb8cCA/edit?usp=sharing"",""อำนาจเจริญ!J164"")"),0)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IFERROR(__xludf.DUMMYFUNCTION("IMPORTRANGE(""https://docs.google.com/spreadsheets/d/1XL5vhW3sbDhbH9Cz0tuDiY8C3ctxq1tqvaCgkFb8cCA/edit?usp=sharing"",""อำนาจเจริญ!I270"")"),120)</f>
        <v>120</v>
      </c>
      <c r="J375" s="188">
        <f ca="1">IFERROR(__xludf.DUMMYFUNCTION("IMPORTRANGE(""https://docs.google.com/spreadsheets/d/1XL5vhW3sbDhbH9Cz0tuDiY8C3ctxq1tqvaCgkFb8cCA/edit?usp=sharing"",""อำนาจเจริญ!J270"")"),120)</f>
        <v>120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IFERROR(__xludf.DUMMYFUNCTION("IMPORTRANGE(""https://docs.google.com/spreadsheets/d/1XL5vhW3sbDhbH9Cz0tuDiY8C3ctxq1tqvaCgkFb8cCA/edit?usp=sharing"",""อำนาจเจริญ!I271"")"),45)</f>
        <v>45</v>
      </c>
      <c r="J376" s="189">
        <f ca="1">IFERROR(__xludf.DUMMYFUNCTION("IMPORTRANGE(""https://docs.google.com/spreadsheets/d/1XL5vhW3sbDhbH9Cz0tuDiY8C3ctxq1tqvaCgkFb8cCA/edit?usp=sharing"",""อำนาจเจริญ!J271"")"),45)</f>
        <v>45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IFERROR(__xludf.DUMMYFUNCTION("IMPORTRANGE(""https://docs.google.com/spreadsheets/d/1XL5vhW3sbDhbH9Cz0tuDiY8C3ctxq1tqvaCgkFb8cCA/edit?usp=sharing"",""อำนาจเจริญ!I272"")"),75)</f>
        <v>75</v>
      </c>
      <c r="J377" s="204">
        <f ca="1">IFERROR(__xludf.DUMMYFUNCTION("IMPORTRANGE(""https://docs.google.com/spreadsheets/d/1XL5vhW3sbDhbH9Cz0tuDiY8C3ctxq1tqvaCgkFb8cCA/edit?usp=sharing"",""อำนาจเจริญ!J272"")"),75)</f>
        <v>75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IFERROR(__xludf.DUMMYFUNCTION("IMPORTRANGE(""https://docs.google.com/spreadsheets/d/1XL5vhW3sbDhbH9Cz0tuDiY8C3ctxq1tqvaCgkFb8cCA/edit?usp=sharing"",""อำนาจเจริญ!J273"")"),0)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IFERROR(__xludf.DUMMYFUNCTION("IMPORTRANGE(""https://docs.google.com/spreadsheets/d/1XL5vhW3sbDhbH9Cz0tuDiY8C3ctxq1tqvaCgkFb8cCA/edit?usp=sharing"",""อำนาจเจริญ!J274"")"),0)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IFERROR(__xludf.DUMMYFUNCTION("IMPORTRANGE(""https://docs.google.com/spreadsheets/d/1XL5vhW3sbDhbH9Cz0tuDiY8C3ctxq1tqvaCgkFb8cCA/edit?usp=sharing"",""อำนาจเจริญ!I275"")"),500)</f>
        <v>500</v>
      </c>
      <c r="J380" s="371">
        <f ca="1">IFERROR(__xludf.DUMMYFUNCTION("IMPORTRANGE(""https://docs.google.com/spreadsheets/d/1XL5vhW3sbDhbH9Cz0tuDiY8C3ctxq1tqvaCgkFb8cCA/edit?usp=sharing"",""อำนาจเจริญ!J275"")"),0)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IFERROR(__xludf.DUMMYFUNCTION("IMPORTRANGE(""https://docs.google.com/spreadsheets/d/1XL5vhW3sbDhbH9Cz0tuDiY8C3ctxq1tqvaCgkFb8cCA/edit?usp=sharing"",""อำนาจเจริญ!L275"")"),460140)</f>
        <v>460140</v>
      </c>
      <c r="M380" s="373"/>
      <c r="N380" s="373">
        <f ca="1">IFERROR(__xludf.DUMMYFUNCTION("IMPORTRANGE(""https://docs.google.com/spreadsheets/d/1XL5vhW3sbDhbH9Cz0tuDiY8C3ctxq1tqvaCgkFb8cCA/edit?usp=sharing"",""อำนาจเจริญ!M275"")"),37875)</f>
        <v>37875</v>
      </c>
      <c r="O380" s="373">
        <f ca="1">+IF(L380&gt;0,N380*100/L380,0)</f>
        <v>8.2311905072369278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IFERROR(__xludf.DUMMYFUNCTION("IMPORTRANGE(""https://docs.google.com/spreadsheets/d/1XL5vhW3sbDhbH9Cz0tuDiY8C3ctxq1tqvaCgkFb8cCA/edit?usp=sharing"",""อำนาจเจริญ!I276"")"),50)</f>
        <v>50</v>
      </c>
      <c r="J381" s="371">
        <f ca="1">IFERROR(__xludf.DUMMYFUNCTION("IMPORTRANGE(""https://docs.google.com/spreadsheets/d/1XL5vhW3sbDhbH9Cz0tuDiY8C3ctxq1tqvaCgkFb8cCA/edit?usp=sharing"",""อำนาจเจริญ!J276"")"),50)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IFERROR(__xludf.DUMMYFUNCTION("IMPORTRANGE(""https://docs.google.com/spreadsheets/d/1XL5vhW3sbDhbH9Cz0tuDiY8C3ctxq1tqvaCgkFb8cCA/edit?usp=sharing"",""อำนาจเจริญ!L277"")"),0)</f>
        <v>0</v>
      </c>
      <c r="M382" s="164"/>
      <c r="N382" s="164">
        <f ca="1">IFERROR(__xludf.DUMMYFUNCTION("IMPORTRANGE(""https://docs.google.com/spreadsheets/d/1XL5vhW3sbDhbH9Cz0tuDiY8C3ctxq1tqvaCgkFb8cCA/edit?usp=sharing"",""อำนาจเจริญ!M277"")"),0)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IFERROR(__xludf.DUMMYFUNCTION("IMPORTRANGE(""https://docs.google.com/spreadsheets/d/1XL5vhW3sbDhbH9Cz0tuDiY8C3ctxq1tqvaCgkFb8cCA/edit?usp=sharing"",""อำนาจเจริญ!L278"")"),460140)</f>
        <v>460140</v>
      </c>
      <c r="M383" s="165"/>
      <c r="N383" s="165">
        <f ca="1">IFERROR(__xludf.DUMMYFUNCTION("IMPORTRANGE(""https://docs.google.com/spreadsheets/d/1XL5vhW3sbDhbH9Cz0tuDiY8C3ctxq1tqvaCgkFb8cCA/edit?usp=sharing"",""อำนาจเจริญ!M278"")"),37875)</f>
        <v>37875</v>
      </c>
      <c r="O383" s="165">
        <f t="shared" ca="1" si="109"/>
        <v>8.2311905072369278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IFERROR(__xludf.DUMMYFUNCTION("IMPORTRANGE(""https://docs.google.com/spreadsheets/d/1XL5vhW3sbDhbH9Cz0tuDiY8C3ctxq1tqvaCgkFb8cCA/edit?usp=sharing"",""อำนาจเจริญ!L279"")"),0)</f>
        <v>0</v>
      </c>
      <c r="M384" s="169"/>
      <c r="N384" s="169">
        <f ca="1">IFERROR(__xludf.DUMMYFUNCTION("IMPORTRANGE(""https://docs.google.com/spreadsheets/d/1XL5vhW3sbDhbH9Cz0tuDiY8C3ctxq1tqvaCgkFb8cCA/edit?usp=sharing"",""อำนาจเจริญ!M279"")"),0)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IFERROR(__xludf.DUMMYFUNCTION("IMPORTRANGE(""https://docs.google.com/spreadsheets/d/1XL5vhW3sbDhbH9Cz0tuDiY8C3ctxq1tqvaCgkFb8cCA/edit?usp=sharing"",""อำนาจเจริญ!L280"")"),460140)</f>
        <v>460140</v>
      </c>
      <c r="M385" s="169"/>
      <c r="N385" s="168">
        <f ca="1">IFERROR(__xludf.DUMMYFUNCTION("IMPORTRANGE(""https://docs.google.com/spreadsheets/d/1XL5vhW3sbDhbH9Cz0tuDiY8C3ctxq1tqvaCgkFb8cCA/edit?usp=sharing"",""อำนาจเจริญ!M280"")"),37875)</f>
        <v>37875</v>
      </c>
      <c r="O385" s="169">
        <f t="shared" ca="1" si="109"/>
        <v>8.2311905072369278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IFERROR(__xludf.DUMMYFUNCTION("IMPORTRANGE(""https://docs.google.com/spreadsheets/d/1XL5vhW3sbDhbH9Cz0tuDiY8C3ctxq1tqvaCgkFb8cCA/edit?usp=sharing"",""อำนาจเจริญ!M281"")"),33695)</f>
        <v>33695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IFERROR(__xludf.DUMMYFUNCTION("IMPORTRANGE(""https://docs.google.com/spreadsheets/d/1XL5vhW3sbDhbH9Cz0tuDiY8C3ctxq1tqvaCgkFb8cCA/edit?usp=sharing"",""อำนาจเจริญ!M282"")"),0)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IFERROR(__xludf.DUMMYFUNCTION("IMPORTRANGE(""https://docs.google.com/spreadsheets/d/1XL5vhW3sbDhbH9Cz0tuDiY8C3ctxq1tqvaCgkFb8cCA/edit?usp=sharing"",""อำนาจเจริญ!M283"")"),0)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IFERROR(__xludf.DUMMYFUNCTION("IMPORTRANGE(""https://docs.google.com/spreadsheets/d/1XL5vhW3sbDhbH9Cz0tuDiY8C3ctxq1tqvaCgkFb8cCA/edit?usp=sharing"",""อำนาจเจริญ!M284"")"),4180)</f>
        <v>4180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IFERROR(__xludf.DUMMYFUNCTION("IMPORTRANGE(""https://docs.google.com/spreadsheets/d/1XL5vhW3sbDhbH9Cz0tuDiY8C3ctxq1tqvaCgkFb8cCA/edit?usp=sharing"",""อำนาจเจริญ!J286"")"),0)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IFERROR(__xludf.DUMMYFUNCTION("IMPORTRANGE(""https://docs.google.com/spreadsheets/d/1XL5vhW3sbDhbH9Cz0tuDiY8C3ctxq1tqvaCgkFb8cCA/edit?usp=sharing"",""อำนาจเจริญ!J287"")"),1)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IFERROR(__xludf.DUMMYFUNCTION("IMPORTRANGE(""https://docs.google.com/spreadsheets/d/1XL5vhW3sbDhbH9Cz0tuDiY8C3ctxq1tqvaCgkFb8cCA/edit?usp=sharing"",""อำนาจเจริญ!J288"")"),1)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IFERROR(__xludf.DUMMYFUNCTION("IMPORTRANGE(""https://docs.google.com/spreadsheets/d/1XL5vhW3sbDhbH9Cz0tuDiY8C3ctxq1tqvaCgkFb8cCA/edit?usp=sharing"",""อำนาจเจริญ!J289"")"),1)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IFERROR(__xludf.DUMMYFUNCTION("IMPORTRANGE(""https://docs.google.com/spreadsheets/d/1XL5vhW3sbDhbH9Cz0tuDiY8C3ctxq1tqvaCgkFb8cCA/edit?usp=sharing"",""อำนาจเจริญ!I291"")"),50)</f>
        <v>50</v>
      </c>
      <c r="J396" s="198">
        <f ca="1">IFERROR(__xludf.DUMMYFUNCTION("IMPORTRANGE(""https://docs.google.com/spreadsheets/d/1XL5vhW3sbDhbH9Cz0tuDiY8C3ctxq1tqvaCgkFb8cCA/edit?usp=sharing"",""อำนาจเจริญ!J291"")"),50)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IFERROR(__xludf.DUMMYFUNCTION("IMPORTRANGE(""https://docs.google.com/spreadsheets/d/1XL5vhW3sbDhbH9Cz0tuDiY8C3ctxq1tqvaCgkFb8cCA/edit?usp=sharing"",""อำนาจเจริญ!I292"")"),500)</f>
        <v>500</v>
      </c>
      <c r="J397" s="198">
        <f ca="1">IFERROR(__xludf.DUMMYFUNCTION("IMPORTRANGE(""https://docs.google.com/spreadsheets/d/1XL5vhW3sbDhbH9Cz0tuDiY8C3ctxq1tqvaCgkFb8cCA/edit?usp=sharing"",""อำนาจเจริญ!J292"")"),0)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IFERROR(__xludf.DUMMYFUNCTION("IMPORTRANGE(""https://docs.google.com/spreadsheets/d/1XL5vhW3sbDhbH9Cz0tuDiY8C3ctxq1tqvaCgkFb8cCA/edit?usp=sharing"",""อำนาจเจริญ!I293"")"),50)</f>
        <v>50</v>
      </c>
      <c r="J398" s="198">
        <f ca="1">IFERROR(__xludf.DUMMYFUNCTION("IMPORTRANGE(""https://docs.google.com/spreadsheets/d/1XL5vhW3sbDhbH9Cz0tuDiY8C3ctxq1tqvaCgkFb8cCA/edit?usp=sharing"",""อำนาจเจริญ!J293"")"),0)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IFERROR(__xludf.DUMMYFUNCTION("IMPORTRANGE(""https://docs.google.com/spreadsheets/d/1XL5vhW3sbDhbH9Cz0tuDiY8C3ctxq1tqvaCgkFb8cCA/edit?usp=sharing"",""อำนาจเจริญ!J294"")"),0)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IFERROR(__xludf.DUMMYFUNCTION("IMPORTRANGE(""https://docs.google.com/spreadsheets/d/1XL5vhW3sbDhbH9Cz0tuDiY8C3ctxq1tqvaCgkFb8cCA/edit?usp=sharing"",""อำนาจเจริญ!J295"")"),0)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IFERROR(__xludf.DUMMYFUNCTION("IMPORTRANGE(""https://docs.google.com/spreadsheets/d/1XL5vhW3sbDhbH9Cz0tuDiY8C3ctxq1tqvaCgkFb8cCA/edit?usp=sharing"",""อำนาจเจริญ!I296"")"),165)</f>
        <v>165</v>
      </c>
      <c r="J401" s="371">
        <f ca="1">IFERROR(__xludf.DUMMYFUNCTION("IMPORTRANGE(""https://docs.google.com/spreadsheets/d/1XL5vhW3sbDhbH9Cz0tuDiY8C3ctxq1tqvaCgkFb8cCA/edit?usp=sharing"",""อำนาจเจริญ!J296"")"),75)</f>
        <v>75</v>
      </c>
      <c r="K401" s="372">
        <f t="shared" ref="K401:K402" ca="1" si="111">IF(I401&gt;0,J401*100/I401,0)</f>
        <v>45.454545454545453</v>
      </c>
      <c r="L401" s="373">
        <f ca="1">IFERROR(__xludf.DUMMYFUNCTION("IMPORTRANGE(""https://docs.google.com/spreadsheets/d/1XL5vhW3sbDhbH9Cz0tuDiY8C3ctxq1tqvaCgkFb8cCA/edit?usp=sharing"",""อำนาจเจริญ!L296"")"),172290)</f>
        <v>172290</v>
      </c>
      <c r="M401" s="373"/>
      <c r="N401" s="373">
        <f ca="1">IFERROR(__xludf.DUMMYFUNCTION("IMPORTRANGE(""https://docs.google.com/spreadsheets/d/1XL5vhW3sbDhbH9Cz0tuDiY8C3ctxq1tqvaCgkFb8cCA/edit?usp=sharing"",""อำนาจเจริญ!M296"")"),68654)</f>
        <v>68654</v>
      </c>
      <c r="O401" s="373">
        <f ca="1">+IF(L401&gt;0,N401*100/L401,0)</f>
        <v>39.847930814324684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IFERROR(__xludf.DUMMYFUNCTION("IMPORTRANGE(""https://docs.google.com/spreadsheets/d/1XL5vhW3sbDhbH9Cz0tuDiY8C3ctxq1tqvaCgkFb8cCA/edit?usp=sharing"",""อำนาจเจริญ!I297"")"),55)</f>
        <v>55</v>
      </c>
      <c r="J402" s="371">
        <f ca="1">IFERROR(__xludf.DUMMYFUNCTION("IMPORTRANGE(""https://docs.google.com/spreadsheets/d/1XL5vhW3sbDhbH9Cz0tuDiY8C3ctxq1tqvaCgkFb8cCA/edit?usp=sharing"",""อำนาจเจริญ!J297"")"),55)</f>
        <v>55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IFERROR(__xludf.DUMMYFUNCTION("IMPORTRANGE(""https://docs.google.com/spreadsheets/d/1XL5vhW3sbDhbH9Cz0tuDiY8C3ctxq1tqvaCgkFb8cCA/edit?usp=sharing"",""อำนาจเจริญ!L298"")"),0)</f>
        <v>0</v>
      </c>
      <c r="M403" s="164"/>
      <c r="N403" s="169">
        <f ca="1">IFERROR(__xludf.DUMMYFUNCTION("IMPORTRANGE(""https://docs.google.com/spreadsheets/d/1XL5vhW3sbDhbH9Cz0tuDiY8C3ctxq1tqvaCgkFb8cCA/edit?usp=sharing"",""อำนาจเจริญ!M298"")"),0)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IFERROR(__xludf.DUMMYFUNCTION("IMPORTRANGE(""https://docs.google.com/spreadsheets/d/1XL5vhW3sbDhbH9Cz0tuDiY8C3ctxq1tqvaCgkFb8cCA/edit?usp=sharing"",""อำนาจเจริญ!L299"")"),172290)</f>
        <v>172290</v>
      </c>
      <c r="M404" s="165"/>
      <c r="N404" s="169">
        <f ca="1">IFERROR(__xludf.DUMMYFUNCTION("IMPORTRANGE(""https://docs.google.com/spreadsheets/d/1XL5vhW3sbDhbH9Cz0tuDiY8C3ctxq1tqvaCgkFb8cCA/edit?usp=sharing"",""อำนาจเจริญ!M299"")"),68654)</f>
        <v>68654</v>
      </c>
      <c r="O404" s="169">
        <f t="shared" ca="1" si="112"/>
        <v>39.847930814324684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IFERROR(__xludf.DUMMYFUNCTION("IMPORTRANGE(""https://docs.google.com/spreadsheets/d/1XL5vhW3sbDhbH9Cz0tuDiY8C3ctxq1tqvaCgkFb8cCA/edit?usp=sharing"",""อำนาจเจริญ!L300"")"),0)</f>
        <v>0</v>
      </c>
      <c r="M405" s="169"/>
      <c r="N405" s="169">
        <f ca="1">IFERROR(__xludf.DUMMYFUNCTION("IMPORTRANGE(""https://docs.google.com/spreadsheets/d/1XL5vhW3sbDhbH9Cz0tuDiY8C3ctxq1tqvaCgkFb8cCA/edit?usp=sharing"",""อำนาจเจริญ!M300"")"),0)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IFERROR(__xludf.DUMMYFUNCTION("IMPORTRANGE(""https://docs.google.com/spreadsheets/d/1XL5vhW3sbDhbH9Cz0tuDiY8C3ctxq1tqvaCgkFb8cCA/edit?usp=sharing"",""อำนาจเจริญ!L301"")"),172290)</f>
        <v>172290</v>
      </c>
      <c r="M406" s="169"/>
      <c r="N406" s="169">
        <f ca="1">IFERROR(__xludf.DUMMYFUNCTION("IMPORTRANGE(""https://docs.google.com/spreadsheets/d/1XL5vhW3sbDhbH9Cz0tuDiY8C3ctxq1tqvaCgkFb8cCA/edit?usp=sharing"",""อำนาจเจริญ!M301"")"),68654)</f>
        <v>68654</v>
      </c>
      <c r="O406" s="169">
        <f t="shared" ca="1" si="112"/>
        <v>39.847930814324684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IFERROR(__xludf.DUMMYFUNCTION("IMPORTRANGE(""https://docs.google.com/spreadsheets/d/1XL5vhW3sbDhbH9Cz0tuDiY8C3ctxq1tqvaCgkFb8cCA/edit?usp=sharing"",""อำนาจเจริญ!M302"")"),63880)</f>
        <v>63880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IFERROR(__xludf.DUMMYFUNCTION("IMPORTRANGE(""https://docs.google.com/spreadsheets/d/1XL5vhW3sbDhbH9Cz0tuDiY8C3ctxq1tqvaCgkFb8cCA/edit?usp=sharing"",""อำนาจเจริญ!M303"")"),0)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IFERROR(__xludf.DUMMYFUNCTION("IMPORTRANGE(""https://docs.google.com/spreadsheets/d/1XL5vhW3sbDhbH9Cz0tuDiY8C3ctxq1tqvaCgkFb8cCA/edit?usp=sharing"",""อำนาจเจริญ!M304"")"),0)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IFERROR(__xludf.DUMMYFUNCTION("IMPORTRANGE(""https://docs.google.com/spreadsheets/d/1XL5vhW3sbDhbH9Cz0tuDiY8C3ctxq1tqvaCgkFb8cCA/edit?usp=sharing"",""อำนาจเจริญ!M305"")"),4774)</f>
        <v>4774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IFERROR(__xludf.DUMMYFUNCTION("IMPORTRANGE(""https://docs.google.com/spreadsheets/d/1XL5vhW3sbDhbH9Cz0tuDiY8C3ctxq1tqvaCgkFb8cCA/edit?usp=sharing"",""อำนาจเจริญ!J307"")"),0)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IFERROR(__xludf.DUMMYFUNCTION("IMPORTRANGE(""https://docs.google.com/spreadsheets/d/1XL5vhW3sbDhbH9Cz0tuDiY8C3ctxq1tqvaCgkFb8cCA/edit?usp=sharing"",""อำนาจเจริญ!J308"")"),1)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IFERROR(__xludf.DUMMYFUNCTION("IMPORTRANGE(""https://docs.google.com/spreadsheets/d/1XL5vhW3sbDhbH9Cz0tuDiY8C3ctxq1tqvaCgkFb8cCA/edit?usp=sharing"",""อำนาจเจริญ!J309"")"),1)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IFERROR(__xludf.DUMMYFUNCTION("IMPORTRANGE(""https://docs.google.com/spreadsheets/d/1XL5vhW3sbDhbH9Cz0tuDiY8C3ctxq1tqvaCgkFb8cCA/edit?usp=sharing"",""อำนาจเจริญ!J310"")"),1)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IFERROR(__xludf.DUMMYFUNCTION("IMPORTRANGE(""https://docs.google.com/spreadsheets/d/1XL5vhW3sbDhbH9Cz0tuDiY8C3ctxq1tqvaCgkFb8cCA/edit?usp=sharing"",""อำนาจเจริญ!I311"")"),55)</f>
        <v>55</v>
      </c>
      <c r="J416" s="201">
        <f ca="1">IFERROR(__xludf.DUMMYFUNCTION("IMPORTRANGE(""https://docs.google.com/spreadsheets/d/1XL5vhW3sbDhbH9Cz0tuDiY8C3ctxq1tqvaCgkFb8cCA/edit?usp=sharing"",""อำนาจเจริญ!J311"")"),55)</f>
        <v>55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IFERROR(__xludf.DUMMYFUNCTION("IMPORTRANGE(""https://docs.google.com/spreadsheets/d/1XL5vhW3sbDhbH9Cz0tuDiY8C3ctxq1tqvaCgkFb8cCA/edit?usp=sharing"",""อำนาจเจริญ!I312"")"),10)</f>
        <v>10</v>
      </c>
      <c r="J417" s="392">
        <f ca="1">IFERROR(__xludf.DUMMYFUNCTION("IMPORTRANGE(""https://docs.google.com/spreadsheets/d/1XL5vhW3sbDhbH9Cz0tuDiY8C3ctxq1tqvaCgkFb8cCA/edit?usp=sharing"",""อำนาจเจริญ!J312"")"),10)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IFERROR(__xludf.DUMMYFUNCTION("IMPORTRANGE(""https://docs.google.com/spreadsheets/d/1XL5vhW3sbDhbH9Cz0tuDiY8C3ctxq1tqvaCgkFb8cCA/edit?usp=sharing"",""อำนาจเจริญ!I313"")"),30)</f>
        <v>30</v>
      </c>
      <c r="J418" s="393">
        <f ca="1">IFERROR(__xludf.DUMMYFUNCTION("IMPORTRANGE(""https://docs.google.com/spreadsheets/d/1XL5vhW3sbDhbH9Cz0tuDiY8C3ctxq1tqvaCgkFb8cCA/edit?usp=sharing"",""อำนาจเจริญ!J313"")"),0)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IFERROR(__xludf.DUMMYFUNCTION("IMPORTRANGE(""https://docs.google.com/spreadsheets/d/1XL5vhW3sbDhbH9Cz0tuDiY8C3ctxq1tqvaCgkFb8cCA/edit?usp=sharing"",""อำนาจเจริญ!I314"")"),10)</f>
        <v>10</v>
      </c>
      <c r="J419" s="394">
        <f ca="1">IFERROR(__xludf.DUMMYFUNCTION("IMPORTRANGE(""https://docs.google.com/spreadsheets/d/1XL5vhW3sbDhbH9Cz0tuDiY8C3ctxq1tqvaCgkFb8cCA/edit?usp=sharing"",""อำนาจเจริญ!J314"")"),10)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IFERROR(__xludf.DUMMYFUNCTION("IMPORTRANGE(""https://docs.google.com/spreadsheets/d/1XL5vhW3sbDhbH9Cz0tuDiY8C3ctxq1tqvaCgkFb8cCA/edit?usp=sharing"",""อำนาจเจริญ!I315"")"),10)</f>
        <v>10</v>
      </c>
      <c r="J420" s="394">
        <f ca="1">IFERROR(__xludf.DUMMYFUNCTION("IMPORTRANGE(""https://docs.google.com/spreadsheets/d/1XL5vhW3sbDhbH9Cz0tuDiY8C3ctxq1tqvaCgkFb8cCA/edit?usp=sharing"",""อำนาจเจริญ!J315"")"),10)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IFERROR(__xludf.DUMMYFUNCTION("IMPORTRANGE(""https://docs.google.com/spreadsheets/d/1XL5vhW3sbDhbH9Cz0tuDiY8C3ctxq1tqvaCgkFb8cCA/edit?usp=sharing"",""อำนาจเจริญ!I316"")"),25)</f>
        <v>25</v>
      </c>
      <c r="J421" s="392">
        <f ca="1">IFERROR(__xludf.DUMMYFUNCTION("IMPORTRANGE(""https://docs.google.com/spreadsheets/d/1XL5vhW3sbDhbH9Cz0tuDiY8C3ctxq1tqvaCgkFb8cCA/edit?usp=sharing"",""อำนาจเจริญ!J316"")"),25)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IFERROR(__xludf.DUMMYFUNCTION("IMPORTRANGE(""https://docs.google.com/spreadsheets/d/1XL5vhW3sbDhbH9Cz0tuDiY8C3ctxq1tqvaCgkFb8cCA/edit?usp=sharing"",""อำนาจเจริญ!I317"")"),75)</f>
        <v>75</v>
      </c>
      <c r="J422" s="393">
        <f ca="1">IFERROR(__xludf.DUMMYFUNCTION("IMPORTRANGE(""https://docs.google.com/spreadsheets/d/1XL5vhW3sbDhbH9Cz0tuDiY8C3ctxq1tqvaCgkFb8cCA/edit?usp=sharing"",""อำนาจเจริญ!J317"")"),75)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IFERROR(__xludf.DUMMYFUNCTION("IMPORTRANGE(""https://docs.google.com/spreadsheets/d/1XL5vhW3sbDhbH9Cz0tuDiY8C3ctxq1tqvaCgkFb8cCA/edit?usp=sharing"",""อำนาจเจริญ!I318"")"),25)</f>
        <v>25</v>
      </c>
      <c r="J423" s="394">
        <f ca="1">IFERROR(__xludf.DUMMYFUNCTION("IMPORTRANGE(""https://docs.google.com/spreadsheets/d/1XL5vhW3sbDhbH9Cz0tuDiY8C3ctxq1tqvaCgkFb8cCA/edit?usp=sharing"",""อำนาจเจริญ!J318"")"),25)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IFERROR(__xludf.DUMMYFUNCTION("IMPORTRANGE(""https://docs.google.com/spreadsheets/d/1XL5vhW3sbDhbH9Cz0tuDiY8C3ctxq1tqvaCgkFb8cCA/edit?usp=sharing"",""อำนาจเจริญ!I319"")"),25)</f>
        <v>25</v>
      </c>
      <c r="J424" s="394">
        <f ca="1">IFERROR(__xludf.DUMMYFUNCTION("IMPORTRANGE(""https://docs.google.com/spreadsheets/d/1XL5vhW3sbDhbH9Cz0tuDiY8C3ctxq1tqvaCgkFb8cCA/edit?usp=sharing"",""อำนาจเจริญ!J319"")"),25)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IFERROR(__xludf.DUMMYFUNCTION("IMPORTRANGE(""https://docs.google.com/spreadsheets/d/1XL5vhW3sbDhbH9Cz0tuDiY8C3ctxq1tqvaCgkFb8cCA/edit?usp=sharing"",""อำนาจเจริญ!I320"")"),25)</f>
        <v>25</v>
      </c>
      <c r="J425" s="394">
        <f ca="1">IFERROR(__xludf.DUMMYFUNCTION("IMPORTRANGE(""https://docs.google.com/spreadsheets/d/1XL5vhW3sbDhbH9Cz0tuDiY8C3ctxq1tqvaCgkFb8cCA/edit?usp=sharing"",""อำนาจเจริญ!J320"")"),25)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IFERROR(__xludf.DUMMYFUNCTION("IMPORTRANGE(""https://docs.google.com/spreadsheets/d/1XL5vhW3sbDhbH9Cz0tuDiY8C3ctxq1tqvaCgkFb8cCA/edit?usp=sharing"",""อำนาจเจริญ!I321"")"),20)</f>
        <v>20</v>
      </c>
      <c r="J426" s="392">
        <f ca="1">IFERROR(__xludf.DUMMYFUNCTION("IMPORTRANGE(""https://docs.google.com/spreadsheets/d/1XL5vhW3sbDhbH9Cz0tuDiY8C3ctxq1tqvaCgkFb8cCA/edit?usp=sharing"",""อำนาจเจริญ!J321"")"),20)</f>
        <v>20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IFERROR(__xludf.DUMMYFUNCTION("IMPORTRANGE(""https://docs.google.com/spreadsheets/d/1XL5vhW3sbDhbH9Cz0tuDiY8C3ctxq1tqvaCgkFb8cCA/edit?usp=sharing"",""อำนาจเจริญ!I322"")"),60)</f>
        <v>60</v>
      </c>
      <c r="J427" s="393">
        <f ca="1">IFERROR(__xludf.DUMMYFUNCTION("IMPORTRANGE(""https://docs.google.com/spreadsheets/d/1XL5vhW3sbDhbH9Cz0tuDiY8C3ctxq1tqvaCgkFb8cCA/edit?usp=sharing"",""อำนาจเจริญ!J322"")"),0)</f>
        <v>0</v>
      </c>
      <c r="K427" s="202">
        <f t="shared" ca="1" si="113"/>
        <v>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IFERROR(__xludf.DUMMYFUNCTION("IMPORTRANGE(""https://docs.google.com/spreadsheets/d/1XL5vhW3sbDhbH9Cz0tuDiY8C3ctxq1tqvaCgkFb8cCA/edit?usp=sharing"",""อำนาจเจริญ!I323"")"),20)</f>
        <v>20</v>
      </c>
      <c r="J428" s="394">
        <f ca="1">IFERROR(__xludf.DUMMYFUNCTION("IMPORTRANGE(""https://docs.google.com/spreadsheets/d/1XL5vhW3sbDhbH9Cz0tuDiY8C3ctxq1tqvaCgkFb8cCA/edit?usp=sharing"",""อำนาจเจริญ!J323"")"),20)</f>
        <v>20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IFERROR(__xludf.DUMMYFUNCTION("IMPORTRANGE(""https://docs.google.com/spreadsheets/d/1XL5vhW3sbDhbH9Cz0tuDiY8C3ctxq1tqvaCgkFb8cCA/edit?usp=sharing"",""อำนาจเจริญ!I324"")"),20)</f>
        <v>20</v>
      </c>
      <c r="J429" s="394">
        <f ca="1">IFERROR(__xludf.DUMMYFUNCTION("IMPORTRANGE(""https://docs.google.com/spreadsheets/d/1XL5vhW3sbDhbH9Cz0tuDiY8C3ctxq1tqvaCgkFb8cCA/edit?usp=sharing"",""อำนาจเจริญ!J324"")"),20)</f>
        <v>20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IFERROR(__xludf.DUMMYFUNCTION("IMPORTRANGE(""https://docs.google.com/spreadsheets/d/1XL5vhW3sbDhbH9Cz0tuDiY8C3ctxq1tqvaCgkFb8cCA/edit?usp=sharing"",""อำนาจเจริญ!I325"")"),35)</f>
        <v>35</v>
      </c>
      <c r="J430" s="392">
        <f ca="1">IFERROR(__xludf.DUMMYFUNCTION("IMPORTRANGE(""https://docs.google.com/spreadsheets/d/1XL5vhW3sbDhbH9Cz0tuDiY8C3ctxq1tqvaCgkFb8cCA/edit?usp=sharing"",""อำนาจเจริญ!J325"")"),0)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IFERROR(__xludf.DUMMYFUNCTION("IMPORTRANGE(""https://docs.google.com/spreadsheets/d/1XL5vhW3sbDhbH9Cz0tuDiY8C3ctxq1tqvaCgkFb8cCA/edit?usp=sharing"",""อำนาจเจริญ!I326"")"),10)</f>
        <v>10</v>
      </c>
      <c r="J431" s="394">
        <f ca="1">IFERROR(__xludf.DUMMYFUNCTION("IMPORTRANGE(""https://docs.google.com/spreadsheets/d/1XL5vhW3sbDhbH9Cz0tuDiY8C3ctxq1tqvaCgkFb8cCA/edit?usp=sharing"",""อำนาจเจริญ!J326"")"),0)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IFERROR(__xludf.DUMMYFUNCTION("IMPORTRANGE(""https://docs.google.com/spreadsheets/d/1XL5vhW3sbDhbH9Cz0tuDiY8C3ctxq1tqvaCgkFb8cCA/edit?usp=sharing"",""อำนาจเจริญ!I327"")"),25)</f>
        <v>25</v>
      </c>
      <c r="J432" s="394">
        <f ca="1">IFERROR(__xludf.DUMMYFUNCTION("IMPORTRANGE(""https://docs.google.com/spreadsheets/d/1XL5vhW3sbDhbH9Cz0tuDiY8C3ctxq1tqvaCgkFb8cCA/edit?usp=sharing"",""อำนาจเจริญ!J327"")"),0)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IFERROR(__xludf.DUMMYFUNCTION("IMPORTRANGE(""https://docs.google.com/spreadsheets/d/1XL5vhW3sbDhbH9Cz0tuDiY8C3ctxq1tqvaCgkFb8cCA/edit?usp=sharing"",""อำนาจเจริญ!J328"")"),0)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IFERROR(__xludf.DUMMYFUNCTION("IMPORTRANGE(""https://docs.google.com/spreadsheets/d/1XL5vhW3sbDhbH9Cz0tuDiY8C3ctxq1tqvaCgkFb8cCA/edit?usp=sharing"",""อำนาจเจริญ!J329"")"),0)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IFERROR(__xludf.DUMMYFUNCTION("IMPORTRANGE(""https://docs.google.com/spreadsheets/d/1XL5vhW3sbDhbH9Cz0tuDiY8C3ctxq1tqvaCgkFb8cCA/edit?usp=sharing"",""อำนาจเจริญ!I330"")"),15)</f>
        <v>15</v>
      </c>
      <c r="J435" s="410">
        <f ca="1">IFERROR(__xludf.DUMMYFUNCTION("IMPORTRANGE(""https://docs.google.com/spreadsheets/d/1XL5vhW3sbDhbH9Cz0tuDiY8C3ctxq1tqvaCgkFb8cCA/edit?usp=sharing"",""อำนาจเจริญ!J330"")"),15)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IFERROR(__xludf.DUMMYFUNCTION("IMPORTRANGE(""https://docs.google.com/spreadsheets/d/1XL5vhW3sbDhbH9Cz0tuDiY8C3ctxq1tqvaCgkFb8cCA/edit?usp=sharing"",""อำนาจเจริญ!L330"")"),106000)</f>
        <v>106000</v>
      </c>
      <c r="M435" s="412"/>
      <c r="N435" s="412">
        <f ca="1">IFERROR(__xludf.DUMMYFUNCTION("IMPORTRANGE(""https://docs.google.com/spreadsheets/d/1XL5vhW3sbDhbH9Cz0tuDiY8C3ctxq1tqvaCgkFb8cCA/edit?usp=sharing"",""อำนาจเจริญ!M330"")"),70940)</f>
        <v>70940</v>
      </c>
      <c r="O435" s="412">
        <f t="shared" ref="O435:O439" ca="1" si="114">+IF(L435&gt;0,N435*100/L435,0)</f>
        <v>66.924528301886795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IFERROR(__xludf.DUMMYFUNCTION("IMPORTRANGE(""https://docs.google.com/spreadsheets/d/1XL5vhW3sbDhbH9Cz0tuDiY8C3ctxq1tqvaCgkFb8cCA/edit?usp=sharing"",""อำนาจเจริญ!L331"")"),0)</f>
        <v>0</v>
      </c>
      <c r="M436" s="164"/>
      <c r="N436" s="169">
        <f ca="1">IFERROR(__xludf.DUMMYFUNCTION("IMPORTRANGE(""https://docs.google.com/spreadsheets/d/1XL5vhW3sbDhbH9Cz0tuDiY8C3ctxq1tqvaCgkFb8cCA/edit?usp=sharing"",""อำนาจเจริญ!M331"")"),0)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IFERROR(__xludf.DUMMYFUNCTION("IMPORTRANGE(""https://docs.google.com/spreadsheets/d/1XL5vhW3sbDhbH9Cz0tuDiY8C3ctxq1tqvaCgkFb8cCA/edit?usp=sharing"",""อำนาจเจริญ!L332"")"),106000)</f>
        <v>106000</v>
      </c>
      <c r="M437" s="165"/>
      <c r="N437" s="169">
        <f ca="1">IFERROR(__xludf.DUMMYFUNCTION("IMPORTRANGE(""https://docs.google.com/spreadsheets/d/1XL5vhW3sbDhbH9Cz0tuDiY8C3ctxq1tqvaCgkFb8cCA/edit?usp=sharing"",""อำนาจเจริญ!M332"")"),70940)</f>
        <v>70940</v>
      </c>
      <c r="O437" s="169">
        <f t="shared" ca="1" si="114"/>
        <v>66.924528301886795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IFERROR(__xludf.DUMMYFUNCTION("IMPORTRANGE(""https://docs.google.com/spreadsheets/d/1XL5vhW3sbDhbH9Cz0tuDiY8C3ctxq1tqvaCgkFb8cCA/edit?usp=sharing"",""อำนาจเจริญ!L333"")"),0)</f>
        <v>0</v>
      </c>
      <c r="M438" s="169"/>
      <c r="N438" s="169">
        <f ca="1">IFERROR(__xludf.DUMMYFUNCTION("IMPORTRANGE(""https://docs.google.com/spreadsheets/d/1XL5vhW3sbDhbH9Cz0tuDiY8C3ctxq1tqvaCgkFb8cCA/edit?usp=sharing"",""อำนาจเจริญ!M333"")"),0)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IFERROR(__xludf.DUMMYFUNCTION("IMPORTRANGE(""https://docs.google.com/spreadsheets/d/1XL5vhW3sbDhbH9Cz0tuDiY8C3ctxq1tqvaCgkFb8cCA/edit?usp=sharing"",""อำนาจเจริญ!L334"")"),106000)</f>
        <v>106000</v>
      </c>
      <c r="M439" s="169"/>
      <c r="N439" s="169">
        <f ca="1">IFERROR(__xludf.DUMMYFUNCTION("IMPORTRANGE(""https://docs.google.com/spreadsheets/d/1XL5vhW3sbDhbH9Cz0tuDiY8C3ctxq1tqvaCgkFb8cCA/edit?usp=sharing"",""อำนาจเจริญ!M334"")"),70940)</f>
        <v>70940</v>
      </c>
      <c r="O439" s="169">
        <f t="shared" ca="1" si="114"/>
        <v>66.924528301886795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IFERROR(__xludf.DUMMYFUNCTION("IMPORTRANGE(""https://docs.google.com/spreadsheets/d/1XL5vhW3sbDhbH9Cz0tuDiY8C3ctxq1tqvaCgkFb8cCA/edit?usp=sharing"",""อำนาจเจริญ!M335"")"),35400)</f>
        <v>35400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IFERROR(__xludf.DUMMYFUNCTION("IMPORTRANGE(""https://docs.google.com/spreadsheets/d/1XL5vhW3sbDhbH9Cz0tuDiY8C3ctxq1tqvaCgkFb8cCA/edit?usp=sharing"",""อำนาจเจริญ!M336"")"),0)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IFERROR(__xludf.DUMMYFUNCTION("IMPORTRANGE(""https://docs.google.com/spreadsheets/d/1XL5vhW3sbDhbH9Cz0tuDiY8C3ctxq1tqvaCgkFb8cCA/edit?usp=sharing"",""อำนาจเจริญ!M337"")"),0)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IFERROR(__xludf.DUMMYFUNCTION("IMPORTRANGE(""https://docs.google.com/spreadsheets/d/1XL5vhW3sbDhbH9Cz0tuDiY8C3ctxq1tqvaCgkFb8cCA/edit?usp=sharing"",""อำนาจเจริญ!M338"")"),35540)</f>
        <v>35540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IFERROR(__xludf.DUMMYFUNCTION("IMPORTRANGE(""https://docs.google.com/spreadsheets/d/1XL5vhW3sbDhbH9Cz0tuDiY8C3ctxq1tqvaCgkFb8cCA/edit?usp=sharing"",""อำนาจเจริญ!J340"")"),0)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IFERROR(__xludf.DUMMYFUNCTION("IMPORTRANGE(""https://docs.google.com/spreadsheets/d/1XL5vhW3sbDhbH9Cz0tuDiY8C3ctxq1tqvaCgkFb8cCA/edit?usp=sharing"",""อำนาจเจริญ!J341"")"),1)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IFERROR(__xludf.DUMMYFUNCTION("IMPORTRANGE(""https://docs.google.com/spreadsheets/d/1XL5vhW3sbDhbH9Cz0tuDiY8C3ctxq1tqvaCgkFb8cCA/edit?usp=sharing"",""อำนาจเจริญ!J342"")"),1)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IFERROR(__xludf.DUMMYFUNCTION("IMPORTRANGE(""https://docs.google.com/spreadsheets/d/1XL5vhW3sbDhbH9Cz0tuDiY8C3ctxq1tqvaCgkFb8cCA/edit?usp=sharing"",""อำนาจเจริญ!J343"")"),1)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IFERROR(__xludf.DUMMYFUNCTION("IMPORTRANGE(""https://docs.google.com/spreadsheets/d/1XL5vhW3sbDhbH9Cz0tuDiY8C3ctxq1tqvaCgkFb8cCA/edit?usp=sharing"",""อำนาจเจริญ!I344"")"),15)</f>
        <v>15</v>
      </c>
      <c r="J449" s="201">
        <f ca="1">IFERROR(__xludf.DUMMYFUNCTION("IMPORTRANGE(""https://docs.google.com/spreadsheets/d/1XL5vhW3sbDhbH9Cz0tuDiY8C3ctxq1tqvaCgkFb8cCA/edit?usp=sharing"",""อำนาจเจริญ!J344"")"),15)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IFERROR(__xludf.DUMMYFUNCTION("IMPORTRANGE(""https://docs.google.com/spreadsheets/d/1XL5vhW3sbDhbH9Cz0tuDiY8C3ctxq1tqvaCgkFb8cCA/edit?usp=sharing"",""อำนาจเจริญ!I345"")"),15)</f>
        <v>15</v>
      </c>
      <c r="J450" s="189">
        <f ca="1">IFERROR(__xludf.DUMMYFUNCTION("IMPORTRANGE(""https://docs.google.com/spreadsheets/d/1XL5vhW3sbDhbH9Cz0tuDiY8C3ctxq1tqvaCgkFb8cCA/edit?usp=sharing"",""อำนาจเจริญ!J345"")"),15)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IFERROR(__xludf.DUMMYFUNCTION("IMPORTRANGE(""https://docs.google.com/spreadsheets/d/1XL5vhW3sbDhbH9Cz0tuDiY8C3ctxq1tqvaCgkFb8cCA/edit?usp=sharing"",""อำนาจเจริญ!I346"")"),0)</f>
        <v>0</v>
      </c>
      <c r="J451" s="188">
        <f ca="1">IFERROR(__xludf.DUMMYFUNCTION("IMPORTRANGE(""https://docs.google.com/spreadsheets/d/1XL5vhW3sbDhbH9Cz0tuDiY8C3ctxq1tqvaCgkFb8cCA/edit?usp=sharing"",""อำนาจเจริญ!J346"")"),0)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IFERROR(__xludf.DUMMYFUNCTION("IMPORTRANGE(""https://docs.google.com/spreadsheets/d/1XL5vhW3sbDhbH9Cz0tuDiY8C3ctxq1tqvaCgkFb8cCA/edit?usp=sharing"",""อำนาจเจริญ!I347"")"),0)</f>
        <v>0</v>
      </c>
      <c r="J452" s="188">
        <f ca="1">IFERROR(__xludf.DUMMYFUNCTION("IMPORTRANGE(""https://docs.google.com/spreadsheets/d/1XL5vhW3sbDhbH9Cz0tuDiY8C3ctxq1tqvaCgkFb8cCA/edit?usp=sharing"",""อำนาจเจริญ!J347"")"),0)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IFERROR(__xludf.DUMMYFUNCTION("IMPORTRANGE(""https://docs.google.com/spreadsheets/d/1XL5vhW3sbDhbH9Cz0tuDiY8C3ctxq1tqvaCgkFb8cCA/edit?usp=sharing"",""อำนาจเจริญ!J348"")"),0)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IFERROR(__xludf.DUMMYFUNCTION("IMPORTRANGE(""https://docs.google.com/spreadsheets/d/1XL5vhW3sbDhbH9Cz0tuDiY8C3ctxq1tqvaCgkFb8cCA/edit?usp=sharing"",""อำนาจเจริญ!J349"")"),0)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IFERROR(__xludf.DUMMYFUNCTION("IMPORTRANGE(""https://docs.google.com/spreadsheets/d/1XL5vhW3sbDhbH9Cz0tuDiY8C3ctxq1tqvaCgkFb8cCA/edit?usp=sharing"",""อำนาจเจริญ!I350"")"),13513)</f>
        <v>13513</v>
      </c>
      <c r="J455" s="371">
        <f ca="1">IFERROR(__xludf.DUMMYFUNCTION("IMPORTRANGE(""https://docs.google.com/spreadsheets/d/1XL5vhW3sbDhbH9Cz0tuDiY8C3ctxq1tqvaCgkFb8cCA/edit?usp=sharing"",""อำนาจเจริญ!J350"")"),0)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IFERROR(__xludf.DUMMYFUNCTION("IMPORTRANGE(""https://docs.google.com/spreadsheets/d/1XL5vhW3sbDhbH9Cz0tuDiY8C3ctxq1tqvaCgkFb8cCA/edit?usp=sharing"",""อำนาจเจริญ!L350"")"),173484)</f>
        <v>173484</v>
      </c>
      <c r="M455" s="373"/>
      <c r="N455" s="373">
        <f ca="1">IFERROR(__xludf.DUMMYFUNCTION("IMPORTRANGE(""https://docs.google.com/spreadsheets/d/1XL5vhW3sbDhbH9Cz0tuDiY8C3ctxq1tqvaCgkFb8cCA/edit?usp=sharing"",""อำนาจเจริญ!M350"")"),19505)</f>
        <v>19505</v>
      </c>
      <c r="O455" s="373">
        <f t="shared" ref="O455:O459" ca="1" si="116">+IF(L455&gt;0,N455*100/L455,0)</f>
        <v>11.243111756703788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IFERROR(__xludf.DUMMYFUNCTION("IMPORTRANGE(""https://docs.google.com/spreadsheets/d/1XL5vhW3sbDhbH9Cz0tuDiY8C3ctxq1tqvaCgkFb8cCA/edit?usp=sharing"",""อำนาจเจริญ!L351"")"),0)</f>
        <v>0</v>
      </c>
      <c r="M456" s="164"/>
      <c r="N456" s="169">
        <f ca="1">IFERROR(__xludf.DUMMYFUNCTION("IMPORTRANGE(""https://docs.google.com/spreadsheets/d/1XL5vhW3sbDhbH9Cz0tuDiY8C3ctxq1tqvaCgkFb8cCA/edit?usp=sharing"",""อำนาจเจริญ!M351"")"),0)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IFERROR(__xludf.DUMMYFUNCTION("IMPORTRANGE(""https://docs.google.com/spreadsheets/d/1XL5vhW3sbDhbH9Cz0tuDiY8C3ctxq1tqvaCgkFb8cCA/edit?usp=sharing"",""อำนาจเจริญ!L352"")"),173484)</f>
        <v>173484</v>
      </c>
      <c r="M457" s="165"/>
      <c r="N457" s="169">
        <f ca="1">IFERROR(__xludf.DUMMYFUNCTION("IMPORTRANGE(""https://docs.google.com/spreadsheets/d/1XL5vhW3sbDhbH9Cz0tuDiY8C3ctxq1tqvaCgkFb8cCA/edit?usp=sharing"",""อำนาจเจริญ!M352"")"),19505)</f>
        <v>19505</v>
      </c>
      <c r="O457" s="169">
        <f t="shared" ca="1" si="116"/>
        <v>11.243111756703788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IFERROR(__xludf.DUMMYFUNCTION("IMPORTRANGE(""https://docs.google.com/spreadsheets/d/1XL5vhW3sbDhbH9Cz0tuDiY8C3ctxq1tqvaCgkFb8cCA/edit?usp=sharing"",""อำนาจเจริญ!L353"")"),0)</f>
        <v>0</v>
      </c>
      <c r="M458" s="169"/>
      <c r="N458" s="169">
        <f ca="1">IFERROR(__xludf.DUMMYFUNCTION("IMPORTRANGE(""https://docs.google.com/spreadsheets/d/1XL5vhW3sbDhbH9Cz0tuDiY8C3ctxq1tqvaCgkFb8cCA/edit?usp=sharing"",""อำนาจเจริญ!M353"")"),0)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IFERROR(__xludf.DUMMYFUNCTION("IMPORTRANGE(""https://docs.google.com/spreadsheets/d/1XL5vhW3sbDhbH9Cz0tuDiY8C3ctxq1tqvaCgkFb8cCA/edit?usp=sharing"",""อำนาจเจริญ!L354"")"),173484)</f>
        <v>173484</v>
      </c>
      <c r="M459" s="169"/>
      <c r="N459" s="169">
        <f ca="1">IFERROR(__xludf.DUMMYFUNCTION("IMPORTRANGE(""https://docs.google.com/spreadsheets/d/1XL5vhW3sbDhbH9Cz0tuDiY8C3ctxq1tqvaCgkFb8cCA/edit?usp=sharing"",""อำนาจเจริญ!M354"")"),19505)</f>
        <v>19505</v>
      </c>
      <c r="O459" s="169">
        <f t="shared" ca="1" si="116"/>
        <v>11.243111756703788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IFERROR(__xludf.DUMMYFUNCTION("IMPORTRANGE(""https://docs.google.com/spreadsheets/d/1XL5vhW3sbDhbH9Cz0tuDiY8C3ctxq1tqvaCgkFb8cCA/edit?usp=sharing"",""อำนาจเจริญ!M355"")"),0)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IFERROR(__xludf.DUMMYFUNCTION("IMPORTRANGE(""https://docs.google.com/spreadsheets/d/1XL5vhW3sbDhbH9Cz0tuDiY8C3ctxq1tqvaCgkFb8cCA/edit?usp=sharing"",""อำนาจเจริญ!M356"")"),0)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IFERROR(__xludf.DUMMYFUNCTION("IMPORTRANGE(""https://docs.google.com/spreadsheets/d/1XL5vhW3sbDhbH9Cz0tuDiY8C3ctxq1tqvaCgkFb8cCA/edit?usp=sharing"",""อำนาจเจริญ!M357"")"),0)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IFERROR(__xludf.DUMMYFUNCTION("IMPORTRANGE(""https://docs.google.com/spreadsheets/d/1XL5vhW3sbDhbH9Cz0tuDiY8C3ctxq1tqvaCgkFb8cCA/edit?usp=sharing"",""อำนาจเจริญ!M358"")"),19505)</f>
        <v>19505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IFERROR(__xludf.DUMMYFUNCTION("IMPORTRANGE(""https://docs.google.com/spreadsheets/d/1XL5vhW3sbDhbH9Cz0tuDiY8C3ctxq1tqvaCgkFb8cCA/edit?usp=sharing"",""อำนาจเจริญ!I359"")"),13513)</f>
        <v>13513</v>
      </c>
      <c r="J464" s="267">
        <f ca="1">IFERROR(__xludf.DUMMYFUNCTION("IMPORTRANGE(""https://docs.google.com/spreadsheets/d/1XL5vhW3sbDhbH9Cz0tuDiY8C3ctxq1tqvaCgkFb8cCA/edit?usp=sharing"",""อำนาจเจริญ!J359"")"),0)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IFERROR(__xludf.DUMMYFUNCTION("IMPORTRANGE(""https://docs.google.com/spreadsheets/d/1XL5vhW3sbDhbH9Cz0tuDiY8C3ctxq1tqvaCgkFb8cCA/edit?usp=sharing"",""อำนาจเจริญ!I360"")"),13513)</f>
        <v>13513</v>
      </c>
      <c r="J465" s="420">
        <f ca="1">IFERROR(__xludf.DUMMYFUNCTION("IMPORTRANGE(""https://docs.google.com/spreadsheets/d/1XL5vhW3sbDhbH9Cz0tuDiY8C3ctxq1tqvaCgkFb8cCA/edit?usp=sharing"",""อำนาจเจริญ!J360"")"),13512)</f>
        <v>13512</v>
      </c>
      <c r="K465" s="202">
        <f t="shared" ca="1" si="117"/>
        <v>99.992599718789307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IFERROR(__xludf.DUMMYFUNCTION("IMPORTRANGE(""https://docs.google.com/spreadsheets/d/1XL5vhW3sbDhbH9Cz0tuDiY8C3ctxq1tqvaCgkFb8cCA/edit?usp=sharing"",""อำนาจเจริญ!I361"")"),3403)</f>
        <v>3403</v>
      </c>
      <c r="J466" s="420">
        <f ca="1">IFERROR(__xludf.DUMMYFUNCTION("IMPORTRANGE(""https://docs.google.com/spreadsheets/d/1XL5vhW3sbDhbH9Cz0tuDiY8C3ctxq1tqvaCgkFb8cCA/edit?usp=sharing"",""อำนาจเจริญ!J361"")"),3403)</f>
        <v>3403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IFERROR(__xludf.DUMMYFUNCTION("IMPORTRANGE(""https://docs.google.com/spreadsheets/d/1XL5vhW3sbDhbH9Cz0tuDiY8C3ctxq1tqvaCgkFb8cCA/edit?usp=sharing"",""อำนาจเจริญ!I362"")"),0)</f>
        <v>0</v>
      </c>
      <c r="J467" s="189">
        <f ca="1">IFERROR(__xludf.DUMMYFUNCTION("IMPORTRANGE(""https://docs.google.com/spreadsheets/d/1XL5vhW3sbDhbH9Cz0tuDiY8C3ctxq1tqvaCgkFb8cCA/edit?usp=sharing"",""อำนาจเจริญ!J362"")"),10197)</f>
        <v>10197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IFERROR(__xludf.DUMMYFUNCTION("IMPORTRANGE(""https://docs.google.com/spreadsheets/d/1XL5vhW3sbDhbH9Cz0tuDiY8C3ctxq1tqvaCgkFb8cCA/edit?usp=sharing"",""อำนาจเจริญ!I363"")"),0)</f>
        <v>0</v>
      </c>
      <c r="J468" s="189">
        <f ca="1">IFERROR(__xludf.DUMMYFUNCTION("IMPORTRANGE(""https://docs.google.com/spreadsheets/d/1XL5vhW3sbDhbH9Cz0tuDiY8C3ctxq1tqvaCgkFb8cCA/edit?usp=sharing"",""อำนาจเจริญ!J363"")"),2542)</f>
        <v>2542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IFERROR(__xludf.DUMMYFUNCTION("IMPORTRANGE(""https://docs.google.com/spreadsheets/d/1XL5vhW3sbDhbH9Cz0tuDiY8C3ctxq1tqvaCgkFb8cCA/edit?usp=sharing"",""อำนาจเจริญ!I364"")"),0)</f>
        <v>0</v>
      </c>
      <c r="J469" s="189">
        <f ca="1">IFERROR(__xludf.DUMMYFUNCTION("IMPORTRANGE(""https://docs.google.com/spreadsheets/d/1XL5vhW3sbDhbH9Cz0tuDiY8C3ctxq1tqvaCgkFb8cCA/edit?usp=sharing"",""อำนาจเจริญ!J364"")"),3120)</f>
        <v>3120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IFERROR(__xludf.DUMMYFUNCTION("IMPORTRANGE(""https://docs.google.com/spreadsheets/d/1XL5vhW3sbDhbH9Cz0tuDiY8C3ctxq1tqvaCgkFb8cCA/edit?usp=sharing"",""อำนาจเจริญ!I365"")"),0)</f>
        <v>0</v>
      </c>
      <c r="J470" s="189">
        <f ca="1">IFERROR(__xludf.DUMMYFUNCTION("IMPORTRANGE(""https://docs.google.com/spreadsheets/d/1XL5vhW3sbDhbH9Cz0tuDiY8C3ctxq1tqvaCgkFb8cCA/edit?usp=sharing"",""อำนาจเจริญ!J365"")"),804)</f>
        <v>804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IFERROR(__xludf.DUMMYFUNCTION("IMPORTRANGE(""https://docs.google.com/spreadsheets/d/1XL5vhW3sbDhbH9Cz0tuDiY8C3ctxq1tqvaCgkFb8cCA/edit?usp=sharing"",""อำนาจเจริญ!I366"")"),0)</f>
        <v>0</v>
      </c>
      <c r="J471" s="189">
        <f ca="1">IFERROR(__xludf.DUMMYFUNCTION("IMPORTRANGE(""https://docs.google.com/spreadsheets/d/1XL5vhW3sbDhbH9Cz0tuDiY8C3ctxq1tqvaCgkFb8cCA/edit?usp=sharing"",""อำนาจเจริญ!J366"")"),195)</f>
        <v>195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IFERROR(__xludf.DUMMYFUNCTION("IMPORTRANGE(""https://docs.google.com/spreadsheets/d/1XL5vhW3sbDhbH9Cz0tuDiY8C3ctxq1tqvaCgkFb8cCA/edit?usp=sharing"",""อำนาจเจริญ!I367"")"),0)</f>
        <v>0</v>
      </c>
      <c r="J472" s="189">
        <f ca="1">IFERROR(__xludf.DUMMYFUNCTION("IMPORTRANGE(""https://docs.google.com/spreadsheets/d/1XL5vhW3sbDhbH9Cz0tuDiY8C3ctxq1tqvaCgkFb8cCA/edit?usp=sharing"",""อำนาจเจริญ!J367"")"),57)</f>
        <v>57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IFERROR(__xludf.DUMMYFUNCTION("IMPORTRANGE(""https://docs.google.com/spreadsheets/d/1XL5vhW3sbDhbH9Cz0tuDiY8C3ctxq1tqvaCgkFb8cCA/edit?usp=sharing"",""อำนาจเจริญ!I368"")"),13513)</f>
        <v>13513</v>
      </c>
      <c r="J473" s="420">
        <f ca="1">IFERROR(__xludf.DUMMYFUNCTION("IMPORTRANGE(""https://docs.google.com/spreadsheets/d/1XL5vhW3sbDhbH9Cz0tuDiY8C3ctxq1tqvaCgkFb8cCA/edit?usp=sharing"",""อำนาจเจริญ!J368"")"),13513)</f>
        <v>13513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IFERROR(__xludf.DUMMYFUNCTION("IMPORTRANGE(""https://docs.google.com/spreadsheets/d/1XL5vhW3sbDhbH9Cz0tuDiY8C3ctxq1tqvaCgkFb8cCA/edit?usp=sharing"",""อำนาจเจริญ!I369"")"),3403)</f>
        <v>3403</v>
      </c>
      <c r="J474" s="420">
        <f ca="1">IFERROR(__xludf.DUMMYFUNCTION("IMPORTRANGE(""https://docs.google.com/spreadsheets/d/1XL5vhW3sbDhbH9Cz0tuDiY8C3ctxq1tqvaCgkFb8cCA/edit?usp=sharing"",""อำนาจเจริญ!J369"")"),3403)</f>
        <v>3403</v>
      </c>
      <c r="K474" s="163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IFERROR(__xludf.DUMMYFUNCTION("IMPORTRANGE(""https://docs.google.com/spreadsheets/d/1XL5vhW3sbDhbH9Cz0tuDiY8C3ctxq1tqvaCgkFb8cCA/edit?usp=sharing"",""อำนาจเจริญ!I370"")"),0)</f>
        <v>0</v>
      </c>
      <c r="J475" s="189">
        <f ca="1">IFERROR(__xludf.DUMMYFUNCTION("IMPORTRANGE(""https://docs.google.com/spreadsheets/d/1XL5vhW3sbDhbH9Cz0tuDiY8C3ctxq1tqvaCgkFb8cCA/edit?usp=sharing"",""อำนาจเจริญ!J370"")"),11365)</f>
        <v>11365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IFERROR(__xludf.DUMMYFUNCTION("IMPORTRANGE(""https://docs.google.com/spreadsheets/d/1XL5vhW3sbDhbH9Cz0tuDiY8C3ctxq1tqvaCgkFb8cCA/edit?usp=sharing"",""อำนาจเจริญ!I371"")"),0)</f>
        <v>0</v>
      </c>
      <c r="J476" s="189">
        <f ca="1">IFERROR(__xludf.DUMMYFUNCTION("IMPORTRANGE(""https://docs.google.com/spreadsheets/d/1XL5vhW3sbDhbH9Cz0tuDiY8C3ctxq1tqvaCgkFb8cCA/edit?usp=sharing"",""อำนาจเจริญ!J371"")"),2764)</f>
        <v>2764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IFERROR(__xludf.DUMMYFUNCTION("IMPORTRANGE(""https://docs.google.com/spreadsheets/d/1XL5vhW3sbDhbH9Cz0tuDiY8C3ctxq1tqvaCgkFb8cCA/edit?usp=sharing"",""อำนาจเจริญ!I372"")"),0)</f>
        <v>0</v>
      </c>
      <c r="J477" s="189">
        <f ca="1">IFERROR(__xludf.DUMMYFUNCTION("IMPORTRANGE(""https://docs.google.com/spreadsheets/d/1XL5vhW3sbDhbH9Cz0tuDiY8C3ctxq1tqvaCgkFb8cCA/edit?usp=sharing"",""อำนาจเจริญ!J372"")"),1911)</f>
        <v>1911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IFERROR(__xludf.DUMMYFUNCTION("IMPORTRANGE(""https://docs.google.com/spreadsheets/d/1XL5vhW3sbDhbH9Cz0tuDiY8C3ctxq1tqvaCgkFb8cCA/edit?usp=sharing"",""อำนาจเจริญ!I373"")"),0)</f>
        <v>0</v>
      </c>
      <c r="J478" s="189">
        <f ca="1">IFERROR(__xludf.DUMMYFUNCTION("IMPORTRANGE(""https://docs.google.com/spreadsheets/d/1XL5vhW3sbDhbH9Cz0tuDiY8C3ctxq1tqvaCgkFb8cCA/edit?usp=sharing"",""อำนาจเจริญ!J373"")"),572)</f>
        <v>572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IFERROR(__xludf.DUMMYFUNCTION("IMPORTRANGE(""https://docs.google.com/spreadsheets/d/1XL5vhW3sbDhbH9Cz0tuDiY8C3ctxq1tqvaCgkFb8cCA/edit?usp=sharing"",""อำนาจเจริญ!I374"")"),0)</f>
        <v>0</v>
      </c>
      <c r="J479" s="189">
        <f ca="1">IFERROR(__xludf.DUMMYFUNCTION("IMPORTRANGE(""https://docs.google.com/spreadsheets/d/1XL5vhW3sbDhbH9Cz0tuDiY8C3ctxq1tqvaCgkFb8cCA/edit?usp=sharing"",""อำนาจเจริญ!J374"")"),237)</f>
        <v>237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IFERROR(__xludf.DUMMYFUNCTION("IMPORTRANGE(""https://docs.google.com/spreadsheets/d/1XL5vhW3sbDhbH9Cz0tuDiY8C3ctxq1tqvaCgkFb8cCA/edit?usp=sharing"",""อำนาจเจริญ!I375"")"),0)</f>
        <v>0</v>
      </c>
      <c r="J480" s="189">
        <f ca="1">IFERROR(__xludf.DUMMYFUNCTION("IMPORTRANGE(""https://docs.google.com/spreadsheets/d/1XL5vhW3sbDhbH9Cz0tuDiY8C3ctxq1tqvaCgkFb8cCA/edit?usp=sharing"",""อำนาจเจริญ!J375"")"),67)</f>
        <v>67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IFERROR(__xludf.DUMMYFUNCTION("IMPORTRANGE(""https://docs.google.com/spreadsheets/d/1XL5vhW3sbDhbH9Cz0tuDiY8C3ctxq1tqvaCgkFb8cCA/edit?usp=sharing"",""อำนาจเจริญ!I376"")"),13513)</f>
        <v>13513</v>
      </c>
      <c r="J481" s="420">
        <f ca="1">IFERROR(__xludf.DUMMYFUNCTION("IMPORTRANGE(""https://docs.google.com/spreadsheets/d/1XL5vhW3sbDhbH9Cz0tuDiY8C3ctxq1tqvaCgkFb8cCA/edit?usp=sharing"",""อำนาจเจริญ!J376"")"),0)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IFERROR(__xludf.DUMMYFUNCTION("IMPORTRANGE(""https://docs.google.com/spreadsheets/d/1XL5vhW3sbDhbH9Cz0tuDiY8C3ctxq1tqvaCgkFb8cCA/edit?usp=sharing"",""อำนาจเจริญ!I377"")"),3403)</f>
        <v>3403</v>
      </c>
      <c r="J482" s="420">
        <f ca="1">IFERROR(__xludf.DUMMYFUNCTION("IMPORTRANGE(""https://docs.google.com/spreadsheets/d/1XL5vhW3sbDhbH9Cz0tuDiY8C3ctxq1tqvaCgkFb8cCA/edit?usp=sharing"",""อำนาจเจริญ!J377"")"),0)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IFERROR(__xludf.DUMMYFUNCTION("IMPORTRANGE(""https://docs.google.com/spreadsheets/d/1XL5vhW3sbDhbH9Cz0tuDiY8C3ctxq1tqvaCgkFb8cCA/edit?usp=sharing"",""อำนาจเจริญ!I378"")"),0)</f>
        <v>0</v>
      </c>
      <c r="J483" s="189">
        <f ca="1">IFERROR(__xludf.DUMMYFUNCTION("IMPORTRANGE(""https://docs.google.com/spreadsheets/d/1XL5vhW3sbDhbH9Cz0tuDiY8C3ctxq1tqvaCgkFb8cCA/edit?usp=sharing"",""อำนาจเจริญ!J378"")"),0)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IFERROR(__xludf.DUMMYFUNCTION("IMPORTRANGE(""https://docs.google.com/spreadsheets/d/1XL5vhW3sbDhbH9Cz0tuDiY8C3ctxq1tqvaCgkFb8cCA/edit?usp=sharing"",""อำนาจเจริญ!I379"")"),0)</f>
        <v>0</v>
      </c>
      <c r="J484" s="189">
        <f ca="1">IFERROR(__xludf.DUMMYFUNCTION("IMPORTRANGE(""https://docs.google.com/spreadsheets/d/1XL5vhW3sbDhbH9Cz0tuDiY8C3ctxq1tqvaCgkFb8cCA/edit?usp=sharing"",""อำนาจเจริญ!J379"")"),0)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IFERROR(__xludf.DUMMYFUNCTION("IMPORTRANGE(""https://docs.google.com/spreadsheets/d/1XL5vhW3sbDhbH9Cz0tuDiY8C3ctxq1tqvaCgkFb8cCA/edit?usp=sharing"",""อำนาจเจริญ!I380"")"),0)</f>
        <v>0</v>
      </c>
      <c r="J485" s="189">
        <f ca="1">IFERROR(__xludf.DUMMYFUNCTION("IMPORTRANGE(""https://docs.google.com/spreadsheets/d/1XL5vhW3sbDhbH9Cz0tuDiY8C3ctxq1tqvaCgkFb8cCA/edit?usp=sharing"",""อำนาจเจริญ!J380"")"),0)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IFERROR(__xludf.DUMMYFUNCTION("IMPORTRANGE(""https://docs.google.com/spreadsheets/d/1XL5vhW3sbDhbH9Cz0tuDiY8C3ctxq1tqvaCgkFb8cCA/edit?usp=sharing"",""อำนาจเจริญ!I381"")"),0)</f>
        <v>0</v>
      </c>
      <c r="J486" s="189">
        <f ca="1">IFERROR(__xludf.DUMMYFUNCTION("IMPORTRANGE(""https://docs.google.com/spreadsheets/d/1XL5vhW3sbDhbH9Cz0tuDiY8C3ctxq1tqvaCgkFb8cCA/edit?usp=sharing"",""อำนาจเจริญ!J381"")"),0)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IFERROR(__xludf.DUMMYFUNCTION("IMPORTRANGE(""https://docs.google.com/spreadsheets/d/1XL5vhW3sbDhbH9Cz0tuDiY8C3ctxq1tqvaCgkFb8cCA/edit?usp=sharing"",""อำนาจเจริญ!I382"")"),0)</f>
        <v>0</v>
      </c>
      <c r="J487" s="420">
        <f ca="1">IFERROR(__xludf.DUMMYFUNCTION("IMPORTRANGE(""https://docs.google.com/spreadsheets/d/1XL5vhW3sbDhbH9Cz0tuDiY8C3ctxq1tqvaCgkFb8cCA/edit?usp=sharing"",""อำนาจเจริญ!J382"")"),0)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IFERROR(__xludf.DUMMYFUNCTION("IMPORTRANGE(""https://docs.google.com/spreadsheets/d/1XL5vhW3sbDhbH9Cz0tuDiY8C3ctxq1tqvaCgkFb8cCA/edit?usp=sharing"",""อำนาจเจริญ!I383"")"),0)</f>
        <v>0</v>
      </c>
      <c r="J488" s="420">
        <f ca="1">IFERROR(__xludf.DUMMYFUNCTION("IMPORTRANGE(""https://docs.google.com/spreadsheets/d/1XL5vhW3sbDhbH9Cz0tuDiY8C3ctxq1tqvaCgkFb8cCA/edit?usp=sharing"",""อำนาจเจริญ!J383"")"),0)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IFERROR(__xludf.DUMMYFUNCTION("IMPORTRANGE(""https://docs.google.com/spreadsheets/d/1XL5vhW3sbDhbH9Cz0tuDiY8C3ctxq1tqvaCgkFb8cCA/edit?usp=sharing"",""อำนาจเจริญ!I384"")"),0)</f>
        <v>0</v>
      </c>
      <c r="J489" s="189">
        <f ca="1">IFERROR(__xludf.DUMMYFUNCTION("IMPORTRANGE(""https://docs.google.com/spreadsheets/d/1XL5vhW3sbDhbH9Cz0tuDiY8C3ctxq1tqvaCgkFb8cCA/edit?usp=sharing"",""อำนาจเจริญ!J384"")"),0)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IFERROR(__xludf.DUMMYFUNCTION("IMPORTRANGE(""https://docs.google.com/spreadsheets/d/1XL5vhW3sbDhbH9Cz0tuDiY8C3ctxq1tqvaCgkFb8cCA/edit?usp=sharing"",""อำนาจเจริญ!I385"")"),0)</f>
        <v>0</v>
      </c>
      <c r="J490" s="189">
        <f ca="1">IFERROR(__xludf.DUMMYFUNCTION("IMPORTRANGE(""https://docs.google.com/spreadsheets/d/1XL5vhW3sbDhbH9Cz0tuDiY8C3ctxq1tqvaCgkFb8cCA/edit?usp=sharing"",""อำนาจเจริญ!J385"")"),0)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IFERROR(__xludf.DUMMYFUNCTION("IMPORTRANGE(""https://docs.google.com/spreadsheets/d/1XL5vhW3sbDhbH9Cz0tuDiY8C3ctxq1tqvaCgkFb8cCA/edit?usp=sharing"",""อำนาจเจริญ!I386"")"),0)</f>
        <v>0</v>
      </c>
      <c r="J491" s="189">
        <f ca="1">IFERROR(__xludf.DUMMYFUNCTION("IMPORTRANGE(""https://docs.google.com/spreadsheets/d/1XL5vhW3sbDhbH9Cz0tuDiY8C3ctxq1tqvaCgkFb8cCA/edit?usp=sharing"",""อำนาจเจริญ!J386"")"),0)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IFERROR(__xludf.DUMMYFUNCTION("IMPORTRANGE(""https://docs.google.com/spreadsheets/d/1XL5vhW3sbDhbH9Cz0tuDiY8C3ctxq1tqvaCgkFb8cCA/edit?usp=sharing"",""อำนาจเจริญ!I387"")"),0)</f>
        <v>0</v>
      </c>
      <c r="J492" s="189">
        <f ca="1">IFERROR(__xludf.DUMMYFUNCTION("IMPORTRANGE(""https://docs.google.com/spreadsheets/d/1XL5vhW3sbDhbH9Cz0tuDiY8C3ctxq1tqvaCgkFb8cCA/edit?usp=sharing"",""อำนาจเจริญ!J387"")"),0)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IFERROR(__xludf.DUMMYFUNCTION("IMPORTRANGE(""https://docs.google.com/spreadsheets/d/1XL5vhW3sbDhbH9Cz0tuDiY8C3ctxq1tqvaCgkFb8cCA/edit?usp=sharing"",""อำนาจเจริญ!I388"")"),0)</f>
        <v>0</v>
      </c>
      <c r="J493" s="189">
        <f ca="1">IFERROR(__xludf.DUMMYFUNCTION("IMPORTRANGE(""https://docs.google.com/spreadsheets/d/1XL5vhW3sbDhbH9Cz0tuDiY8C3ctxq1tqvaCgkFb8cCA/edit?usp=sharing"",""อำนาจเจริญ!J388"")"),0)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IFERROR(__xludf.DUMMYFUNCTION("IMPORTRANGE(""https://docs.google.com/spreadsheets/d/1XL5vhW3sbDhbH9Cz0tuDiY8C3ctxq1tqvaCgkFb8cCA/edit?usp=sharing"",""อำนาจเจริญ!I389"")"),0)</f>
        <v>0</v>
      </c>
      <c r="J494" s="436">
        <f ca="1">IFERROR(__xludf.DUMMYFUNCTION("IMPORTRANGE(""https://docs.google.com/spreadsheets/d/1XL5vhW3sbDhbH9Cz0tuDiY8C3ctxq1tqvaCgkFb8cCA/edit?usp=sharing"",""อำนาจเจริญ!J389"")"),0)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IFERROR(__xludf.DUMMYFUNCTION("IMPORTRANGE(""https://docs.google.com/spreadsheets/d/1XL5vhW3sbDhbH9Cz0tuDiY8C3ctxq1tqvaCgkFb8cCA/edit?usp=sharing"",""อำนาจเจริญ!I390"")"),0)</f>
        <v>0</v>
      </c>
      <c r="J495" s="436">
        <f ca="1">IFERROR(__xludf.DUMMYFUNCTION("IMPORTRANGE(""https://docs.google.com/spreadsheets/d/1XL5vhW3sbDhbH9Cz0tuDiY8C3ctxq1tqvaCgkFb8cCA/edit?usp=sharing"",""อำนาจเจริญ!J390"")"),0)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IFERROR(__xludf.DUMMYFUNCTION("IMPORTRANGE(""https://docs.google.com/spreadsheets/d/1XL5vhW3sbDhbH9Cz0tuDiY8C3ctxq1tqvaCgkFb8cCA/edit?usp=sharing"",""อำนาจเจริญ!I391"")"),0)</f>
        <v>0</v>
      </c>
      <c r="J496" s="436">
        <f ca="1">IFERROR(__xludf.DUMMYFUNCTION("IMPORTRANGE(""https://docs.google.com/spreadsheets/d/1XL5vhW3sbDhbH9Cz0tuDiY8C3ctxq1tqvaCgkFb8cCA/edit?usp=sharing"",""อำนาจเจริญ!J391"")"),0)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IFERROR(__xludf.DUMMYFUNCTION("IMPORTRANGE(""https://docs.google.com/spreadsheets/d/1XL5vhW3sbDhbH9Cz0tuDiY8C3ctxq1tqvaCgkFb8cCA/edit?usp=sharing"",""อำนาจเจริญ!I392"")"),1404)</f>
        <v>1404</v>
      </c>
      <c r="J497" s="443">
        <f ca="1">IFERROR(__xludf.DUMMYFUNCTION("IMPORTRANGE(""https://docs.google.com/spreadsheets/d/1XL5vhW3sbDhbH9Cz0tuDiY8C3ctxq1tqvaCgkFb8cCA/edit?usp=sharing"",""อำนาจเจริญ!J392"")"),904)</f>
        <v>904</v>
      </c>
      <c r="K497" s="444">
        <f t="shared" ca="1" si="117"/>
        <v>64.387464387464391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IFERROR(__xludf.DUMMYFUNCTION("IMPORTRANGE(""https://docs.google.com/spreadsheets/d/1XL5vhW3sbDhbH9Cz0tuDiY8C3ctxq1tqvaCgkFb8cCA/edit?usp=sharing"",""อำนาจเจริญ!I393"")"),1217)</f>
        <v>1217</v>
      </c>
      <c r="J498" s="420">
        <f ca="1">IFERROR(__xludf.DUMMYFUNCTION("IMPORTRANGE(""https://docs.google.com/spreadsheets/d/1XL5vhW3sbDhbH9Cz0tuDiY8C3ctxq1tqvaCgkFb8cCA/edit?usp=sharing"",""อำนาจเจริญ!J393"")"),904)</f>
        <v>904</v>
      </c>
      <c r="K498" s="202">
        <f t="shared" ca="1" si="117"/>
        <v>74.281018898931805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IFERROR(__xludf.DUMMYFUNCTION("IMPORTRANGE(""https://docs.google.com/spreadsheets/d/1XL5vhW3sbDhbH9Cz0tuDiY8C3ctxq1tqvaCgkFb8cCA/edit?usp=sharing"",""อำนาจเจริญ!I394"")"),106)</f>
        <v>106</v>
      </c>
      <c r="J499" s="420">
        <f ca="1">IFERROR(__xludf.DUMMYFUNCTION("IMPORTRANGE(""https://docs.google.com/spreadsheets/d/1XL5vhW3sbDhbH9Cz0tuDiY8C3ctxq1tqvaCgkFb8cCA/edit?usp=sharing"",""อำนาจเจริญ!J394"")"),69)</f>
        <v>69</v>
      </c>
      <c r="K499" s="202">
        <f t="shared" ca="1" si="117"/>
        <v>65.094339622641513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IFERROR(__xludf.DUMMYFUNCTION("IMPORTRANGE(""https://docs.google.com/spreadsheets/d/1XL5vhW3sbDhbH9Cz0tuDiY8C3ctxq1tqvaCgkFb8cCA/edit?usp=sharing"",""อำนาจเจริญ!I395"")"),0)</f>
        <v>0</v>
      </c>
      <c r="J500" s="162">
        <f ca="1">IFERROR(__xludf.DUMMYFUNCTION("IMPORTRANGE(""https://docs.google.com/spreadsheets/d/1XL5vhW3sbDhbH9Cz0tuDiY8C3ctxq1tqvaCgkFb8cCA/edit?usp=sharing"",""อำนาจเจริญ!J395"")"),889)</f>
        <v>889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IFERROR(__xludf.DUMMYFUNCTION("IMPORTRANGE(""https://docs.google.com/spreadsheets/d/1XL5vhW3sbDhbH9Cz0tuDiY8C3ctxq1tqvaCgkFb8cCA/edit?usp=sharing"",""อำนาจเจริญ!I396"")"),0)</f>
        <v>0</v>
      </c>
      <c r="J501" s="162">
        <f ca="1">IFERROR(__xludf.DUMMYFUNCTION("IMPORTRANGE(""https://docs.google.com/spreadsheets/d/1XL5vhW3sbDhbH9Cz0tuDiY8C3ctxq1tqvaCgkFb8cCA/edit?usp=sharing"",""อำนาจเจริญ!J396"")"),66)</f>
        <v>66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IFERROR(__xludf.DUMMYFUNCTION("IMPORTRANGE(""https://docs.google.com/spreadsheets/d/1XL5vhW3sbDhbH9Cz0tuDiY8C3ctxq1tqvaCgkFb8cCA/edit?usp=sharing"",""อำนาจเจริญ!I397"")"),0)</f>
        <v>0</v>
      </c>
      <c r="J502" s="189">
        <f ca="1">IFERROR(__xludf.DUMMYFUNCTION("IMPORTRANGE(""https://docs.google.com/spreadsheets/d/1XL5vhW3sbDhbH9Cz0tuDiY8C3ctxq1tqvaCgkFb8cCA/edit?usp=sharing"",""อำนาจเจริญ!J397"")"),871)</f>
        <v>871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IFERROR(__xludf.DUMMYFUNCTION("IMPORTRANGE(""https://docs.google.com/spreadsheets/d/1XL5vhW3sbDhbH9Cz0tuDiY8C3ctxq1tqvaCgkFb8cCA/edit?usp=sharing"",""อำนาจเจริญ!I398"")"),0)</f>
        <v>0</v>
      </c>
      <c r="J503" s="198">
        <f ca="1">IFERROR(__xludf.DUMMYFUNCTION("IMPORTRANGE(""https://docs.google.com/spreadsheets/d/1XL5vhW3sbDhbH9Cz0tuDiY8C3ctxq1tqvaCgkFb8cCA/edit?usp=sharing"",""อำนาจเจริญ!J398"")"),64)</f>
        <v>64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IFERROR(__xludf.DUMMYFUNCTION("IMPORTRANGE(""https://docs.google.com/spreadsheets/d/1XL5vhW3sbDhbH9Cz0tuDiY8C3ctxq1tqvaCgkFb8cCA/edit?usp=sharing"",""อำนาจเจริญ!I399"")"),0)</f>
        <v>0</v>
      </c>
      <c r="J504" s="189">
        <f ca="1">IFERROR(__xludf.DUMMYFUNCTION("IMPORTRANGE(""https://docs.google.com/spreadsheets/d/1XL5vhW3sbDhbH9Cz0tuDiY8C3ctxq1tqvaCgkFb8cCA/edit?usp=sharing"",""อำนาจเจริญ!J399"")"),18)</f>
        <v>18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IFERROR(__xludf.DUMMYFUNCTION("IMPORTRANGE(""https://docs.google.com/spreadsheets/d/1XL5vhW3sbDhbH9Cz0tuDiY8C3ctxq1tqvaCgkFb8cCA/edit?usp=sharing"",""อำนาจเจริญ!I400"")"),0)</f>
        <v>0</v>
      </c>
      <c r="J505" s="198">
        <f ca="1">IFERROR(__xludf.DUMMYFUNCTION("IMPORTRANGE(""https://docs.google.com/spreadsheets/d/1XL5vhW3sbDhbH9Cz0tuDiY8C3ctxq1tqvaCgkFb8cCA/edit?usp=sharing"",""อำนาจเจริญ!J400"")"),2)</f>
        <v>2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IFERROR(__xludf.DUMMYFUNCTION("IMPORTRANGE(""https://docs.google.com/spreadsheets/d/1XL5vhW3sbDhbH9Cz0tuDiY8C3ctxq1tqvaCgkFb8cCA/edit?usp=sharing"",""อำนาจเจริญ!I401"")"),0)</f>
        <v>0</v>
      </c>
      <c r="J506" s="189">
        <f ca="1">IFERROR(__xludf.DUMMYFUNCTION("IMPORTRANGE(""https://docs.google.com/spreadsheets/d/1XL5vhW3sbDhbH9Cz0tuDiY8C3ctxq1tqvaCgkFb8cCA/edit?usp=sharing"",""อำนาจเจริญ!J401"")"),0)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IFERROR(__xludf.DUMMYFUNCTION("IMPORTRANGE(""https://docs.google.com/spreadsheets/d/1XL5vhW3sbDhbH9Cz0tuDiY8C3ctxq1tqvaCgkFb8cCA/edit?usp=sharing"",""อำนาจเจริญ!I402"")"),0)</f>
        <v>0</v>
      </c>
      <c r="J507" s="198">
        <f ca="1">IFERROR(__xludf.DUMMYFUNCTION("IMPORTRANGE(""https://docs.google.com/spreadsheets/d/1XL5vhW3sbDhbH9Cz0tuDiY8C3ctxq1tqvaCgkFb8cCA/edit?usp=sharing"",""อำนาจเจริญ!J402"")"),0)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IFERROR(__xludf.DUMMYFUNCTION("IMPORTRANGE(""https://docs.google.com/spreadsheets/d/1XL5vhW3sbDhbH9Cz0tuDiY8C3ctxq1tqvaCgkFb8cCA/edit?usp=sharing"",""อำนาจเจริญ!I403"")"),0)</f>
        <v>0</v>
      </c>
      <c r="J508" s="162">
        <f ca="1">IFERROR(__xludf.DUMMYFUNCTION("IMPORTRANGE(""https://docs.google.com/spreadsheets/d/1XL5vhW3sbDhbH9Cz0tuDiY8C3ctxq1tqvaCgkFb8cCA/edit?usp=sharing"",""อำนาจเจริญ!J403"")"),15)</f>
        <v>15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IFERROR(__xludf.DUMMYFUNCTION("IMPORTRANGE(""https://docs.google.com/spreadsheets/d/1XL5vhW3sbDhbH9Cz0tuDiY8C3ctxq1tqvaCgkFb8cCA/edit?usp=sharing"",""อำนาจเจริญ!I404"")"),0)</f>
        <v>0</v>
      </c>
      <c r="J509" s="162">
        <f ca="1">IFERROR(__xludf.DUMMYFUNCTION("IMPORTRANGE(""https://docs.google.com/spreadsheets/d/1XL5vhW3sbDhbH9Cz0tuDiY8C3ctxq1tqvaCgkFb8cCA/edit?usp=sharing"",""อำนาจเจริญ!J404"")"),3)</f>
        <v>3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IFERROR(__xludf.DUMMYFUNCTION("IMPORTRANGE(""https://docs.google.com/spreadsheets/d/1XL5vhW3sbDhbH9Cz0tuDiY8C3ctxq1tqvaCgkFb8cCA/edit?usp=sharing"",""อำนาจเจริญ!I405"")"),0)</f>
        <v>0</v>
      </c>
      <c r="J510" s="198">
        <f ca="1">IFERROR(__xludf.DUMMYFUNCTION("IMPORTRANGE(""https://docs.google.com/spreadsheets/d/1XL5vhW3sbDhbH9Cz0tuDiY8C3ctxq1tqvaCgkFb8cCA/edit?usp=sharing"",""อำนาจเจริญ!J405"")"),5)</f>
        <v>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IFERROR(__xludf.DUMMYFUNCTION("IMPORTRANGE(""https://docs.google.com/spreadsheets/d/1XL5vhW3sbDhbH9Cz0tuDiY8C3ctxq1tqvaCgkFb8cCA/edit?usp=sharing"",""อำนาจเจริญ!I406"")"),0)</f>
        <v>0</v>
      </c>
      <c r="J511" s="198">
        <f ca="1">IFERROR(__xludf.DUMMYFUNCTION("IMPORTRANGE(""https://docs.google.com/spreadsheets/d/1XL5vhW3sbDhbH9Cz0tuDiY8C3ctxq1tqvaCgkFb8cCA/edit?usp=sharing"",""อำนาจเจริญ!J406"")"),2)</f>
        <v>2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IFERROR(__xludf.DUMMYFUNCTION("IMPORTRANGE(""https://docs.google.com/spreadsheets/d/1XL5vhW3sbDhbH9Cz0tuDiY8C3ctxq1tqvaCgkFb8cCA/edit?usp=sharing"",""อำนาจเจริญ!I407"")"),0)</f>
        <v>0</v>
      </c>
      <c r="J512" s="198">
        <f ca="1">IFERROR(__xludf.DUMMYFUNCTION("IMPORTRANGE(""https://docs.google.com/spreadsheets/d/1XL5vhW3sbDhbH9Cz0tuDiY8C3ctxq1tqvaCgkFb8cCA/edit?usp=sharing"",""อำนาจเจริญ!J407"")"),10)</f>
        <v>10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IFERROR(__xludf.DUMMYFUNCTION("IMPORTRANGE(""https://docs.google.com/spreadsheets/d/1XL5vhW3sbDhbH9Cz0tuDiY8C3ctxq1tqvaCgkFb8cCA/edit?usp=sharing"",""อำนาจเจริญ!I408"")"),0)</f>
        <v>0</v>
      </c>
      <c r="J513" s="198">
        <f ca="1">IFERROR(__xludf.DUMMYFUNCTION("IMPORTRANGE(""https://docs.google.com/spreadsheets/d/1XL5vhW3sbDhbH9Cz0tuDiY8C3ctxq1tqvaCgkFb8cCA/edit?usp=sharing"",""อำนาจเจริญ!J408"")"),1)</f>
        <v>1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IFERROR(__xludf.DUMMYFUNCTION("IMPORTRANGE(""https://docs.google.com/spreadsheets/d/1XL5vhW3sbDhbH9Cz0tuDiY8C3ctxq1tqvaCgkFb8cCA/edit?usp=sharing"",""อำนาจเจริญ!I409"")"),0)</f>
        <v>0</v>
      </c>
      <c r="J514" s="198">
        <f ca="1">IFERROR(__xludf.DUMMYFUNCTION("IMPORTRANGE(""https://docs.google.com/spreadsheets/d/1XL5vhW3sbDhbH9Cz0tuDiY8C3ctxq1tqvaCgkFb8cCA/edit?usp=sharing"",""อำนาจเจริญ!J409"")"),0)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IFERROR(__xludf.DUMMYFUNCTION("IMPORTRANGE(""https://docs.google.com/spreadsheets/d/1XL5vhW3sbDhbH9Cz0tuDiY8C3ctxq1tqvaCgkFb8cCA/edit?usp=sharing"",""อำนาจเจริญ!I410"")"),0)</f>
        <v>0</v>
      </c>
      <c r="J515" s="198">
        <f ca="1">IFERROR(__xludf.DUMMYFUNCTION("IMPORTRANGE(""https://docs.google.com/spreadsheets/d/1XL5vhW3sbDhbH9Cz0tuDiY8C3ctxq1tqvaCgkFb8cCA/edit?usp=sharing"",""อำนาจเจริญ!J410"")"),0)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IFERROR(__xludf.DUMMYFUNCTION("IMPORTRANGE(""https://docs.google.com/spreadsheets/d/1XL5vhW3sbDhbH9Cz0tuDiY8C3ctxq1tqvaCgkFb8cCA/edit?usp=sharing"",""อำนาจเจริญ!I411"")"),0)</f>
        <v>0</v>
      </c>
      <c r="J516" s="267">
        <f ca="1">IFERROR(__xludf.DUMMYFUNCTION("IMPORTRANGE(""https://docs.google.com/spreadsheets/d/1XL5vhW3sbDhbH9Cz0tuDiY8C3ctxq1tqvaCgkFb8cCA/edit?usp=sharing"",""อำนาจเจริญ!J411"")"),0)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IFERROR(__xludf.DUMMYFUNCTION("IMPORTRANGE(""https://docs.google.com/spreadsheets/d/1XL5vhW3sbDhbH9Cz0tuDiY8C3ctxq1tqvaCgkFb8cCA/edit?usp=sharing"",""อำนาจเจริญ!I412"")"),0)</f>
        <v>0</v>
      </c>
      <c r="J517" s="284">
        <f ca="1">IFERROR(__xludf.DUMMYFUNCTION("IMPORTRANGE(""https://docs.google.com/spreadsheets/d/1XL5vhW3sbDhbH9Cz0tuDiY8C3ctxq1tqvaCgkFb8cCA/edit?usp=sharing"",""อำนาจเจริญ!J412"")"),0)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IFERROR(__xludf.DUMMYFUNCTION("IMPORTRANGE(""https://docs.google.com/spreadsheets/d/1XL5vhW3sbDhbH9Cz0tuDiY8C3ctxq1tqvaCgkFb8cCA/edit?usp=sharing"",""อำนาจเจริญ!I413"")"),0)</f>
        <v>0</v>
      </c>
      <c r="J518" s="284">
        <f ca="1">IFERROR(__xludf.DUMMYFUNCTION("IMPORTRANGE(""https://docs.google.com/spreadsheets/d/1XL5vhW3sbDhbH9Cz0tuDiY8C3ctxq1tqvaCgkFb8cCA/edit?usp=sharing"",""อำนาจเจริญ!J413"")"),0)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IFERROR(__xludf.DUMMYFUNCTION("IMPORTRANGE(""https://docs.google.com/spreadsheets/d/1XL5vhW3sbDhbH9Cz0tuDiY8C3ctxq1tqvaCgkFb8cCA/edit?usp=sharing"",""อำนาจเจริญ!I414"")"),0)</f>
        <v>0</v>
      </c>
      <c r="J519" s="188">
        <f ca="1">IFERROR(__xludf.DUMMYFUNCTION("IMPORTRANGE(""https://docs.google.com/spreadsheets/d/1XL5vhW3sbDhbH9Cz0tuDiY8C3ctxq1tqvaCgkFb8cCA/edit?usp=sharing"",""อำนาจเจริญ!J414"")"),0)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IFERROR(__xludf.DUMMYFUNCTION("IMPORTRANGE(""https://docs.google.com/spreadsheets/d/1XL5vhW3sbDhbH9Cz0tuDiY8C3ctxq1tqvaCgkFb8cCA/edit?usp=sharing"",""อำนาจเจริญ!I415"")"),0)</f>
        <v>0</v>
      </c>
      <c r="J520" s="188">
        <f ca="1">IFERROR(__xludf.DUMMYFUNCTION("IMPORTRANGE(""https://docs.google.com/spreadsheets/d/1XL5vhW3sbDhbH9Cz0tuDiY8C3ctxq1tqvaCgkFb8cCA/edit?usp=sharing"",""อำนาจเจริญ!J415"")"),0)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IFERROR(__xludf.DUMMYFUNCTION("IMPORTRANGE(""https://docs.google.com/spreadsheets/d/1XL5vhW3sbDhbH9Cz0tuDiY8C3ctxq1tqvaCgkFb8cCA/edit?usp=sharing"",""อำนาจเจริญ!I416"")"),0)</f>
        <v>0</v>
      </c>
      <c r="J521" s="188">
        <f ca="1">IFERROR(__xludf.DUMMYFUNCTION("IMPORTRANGE(""https://docs.google.com/spreadsheets/d/1XL5vhW3sbDhbH9Cz0tuDiY8C3ctxq1tqvaCgkFb8cCA/edit?usp=sharing"",""อำนาจเจริญ!J416"")"),0)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IFERROR(__xludf.DUMMYFUNCTION("IMPORTRANGE(""https://docs.google.com/spreadsheets/d/1XL5vhW3sbDhbH9Cz0tuDiY8C3ctxq1tqvaCgkFb8cCA/edit?usp=sharing"",""อำนาจเจริญ!I417"")"),0)</f>
        <v>0</v>
      </c>
      <c r="J522" s="188">
        <f ca="1">IFERROR(__xludf.DUMMYFUNCTION("IMPORTRANGE(""https://docs.google.com/spreadsheets/d/1XL5vhW3sbDhbH9Cz0tuDiY8C3ctxq1tqvaCgkFb8cCA/edit?usp=sharing"",""อำนาจเจริญ!J417"")"),0)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IFERROR(__xludf.DUMMYFUNCTION("IMPORTRANGE(""https://docs.google.com/spreadsheets/d/1XL5vhW3sbDhbH9Cz0tuDiY8C3ctxq1tqvaCgkFb8cCA/edit?usp=sharing"",""อำนาจเจริญ!I418"")"),0)</f>
        <v>0</v>
      </c>
      <c r="J523" s="188">
        <f ca="1">IFERROR(__xludf.DUMMYFUNCTION("IMPORTRANGE(""https://docs.google.com/spreadsheets/d/1XL5vhW3sbDhbH9Cz0tuDiY8C3ctxq1tqvaCgkFb8cCA/edit?usp=sharing"",""อำนาจเจริญ!J418"")"),0)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IFERROR(__xludf.DUMMYFUNCTION("IMPORTRANGE(""https://docs.google.com/spreadsheets/d/1XL5vhW3sbDhbH9Cz0tuDiY8C3ctxq1tqvaCgkFb8cCA/edit?usp=sharing"",""อำนาจเจริญ!I419"")"),0)</f>
        <v>0</v>
      </c>
      <c r="J524" s="188">
        <f ca="1">IFERROR(__xludf.DUMMYFUNCTION("IMPORTRANGE(""https://docs.google.com/spreadsheets/d/1XL5vhW3sbDhbH9Cz0tuDiY8C3ctxq1tqvaCgkFb8cCA/edit?usp=sharing"",""อำนาจเจริญ!J419"")"),0)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IFERROR(__xludf.DUMMYFUNCTION("IMPORTRANGE(""https://docs.google.com/spreadsheets/d/1XL5vhW3sbDhbH9Cz0tuDiY8C3ctxq1tqvaCgkFb8cCA/edit?usp=sharing"",""อำนาจเจริญ!I420"")"),0)</f>
        <v>0</v>
      </c>
      <c r="J525" s="284">
        <f ca="1">IFERROR(__xludf.DUMMYFUNCTION("IMPORTRANGE(""https://docs.google.com/spreadsheets/d/1XL5vhW3sbDhbH9Cz0tuDiY8C3ctxq1tqvaCgkFb8cCA/edit?usp=sharing"",""อำนาจเจริญ!J420"")"),0)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IFERROR(__xludf.DUMMYFUNCTION("IMPORTRANGE(""https://docs.google.com/spreadsheets/d/1XL5vhW3sbDhbH9Cz0tuDiY8C3ctxq1tqvaCgkFb8cCA/edit?usp=sharing"",""อำนาจเจริญ!I421"")"),0)</f>
        <v>0</v>
      </c>
      <c r="J526" s="284">
        <f ca="1">IFERROR(__xludf.DUMMYFUNCTION("IMPORTRANGE(""https://docs.google.com/spreadsheets/d/1XL5vhW3sbDhbH9Cz0tuDiY8C3ctxq1tqvaCgkFb8cCA/edit?usp=sharing"",""อำนาจเจริญ!J421"")"),0)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IFERROR(__xludf.DUMMYFUNCTION("IMPORTRANGE(""https://docs.google.com/spreadsheets/d/1XL5vhW3sbDhbH9Cz0tuDiY8C3ctxq1tqvaCgkFb8cCA/edit?usp=sharing"",""อำนาจเจริญ!I422"")"),0)</f>
        <v>0</v>
      </c>
      <c r="J527" s="198">
        <f ca="1">IFERROR(__xludf.DUMMYFUNCTION("IMPORTRANGE(""https://docs.google.com/spreadsheets/d/1XL5vhW3sbDhbH9Cz0tuDiY8C3ctxq1tqvaCgkFb8cCA/edit?usp=sharing"",""อำนาจเจริญ!J422"")"),0)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IFERROR(__xludf.DUMMYFUNCTION("IMPORTRANGE(""https://docs.google.com/spreadsheets/d/1XL5vhW3sbDhbH9Cz0tuDiY8C3ctxq1tqvaCgkFb8cCA/edit?usp=sharing"",""อำนาจเจริญ!I423"")"),0)</f>
        <v>0</v>
      </c>
      <c r="J528" s="198">
        <f ca="1">IFERROR(__xludf.DUMMYFUNCTION("IMPORTRANGE(""https://docs.google.com/spreadsheets/d/1XL5vhW3sbDhbH9Cz0tuDiY8C3ctxq1tqvaCgkFb8cCA/edit?usp=sharing"",""อำนาจเจริญ!J423"")"),0)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IFERROR(__xludf.DUMMYFUNCTION("IMPORTRANGE(""https://docs.google.com/spreadsheets/d/1XL5vhW3sbDhbH9Cz0tuDiY8C3ctxq1tqvaCgkFb8cCA/edit?usp=sharing"",""อำนาจเจริญ!I424"")"),0)</f>
        <v>0</v>
      </c>
      <c r="J529" s="198">
        <f ca="1">IFERROR(__xludf.DUMMYFUNCTION("IMPORTRANGE(""https://docs.google.com/spreadsheets/d/1XL5vhW3sbDhbH9Cz0tuDiY8C3ctxq1tqvaCgkFb8cCA/edit?usp=sharing"",""อำนาจเจริญ!J424"")"),0)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IFERROR(__xludf.DUMMYFUNCTION("IMPORTRANGE(""https://docs.google.com/spreadsheets/d/1XL5vhW3sbDhbH9Cz0tuDiY8C3ctxq1tqvaCgkFb8cCA/edit?usp=sharing"",""อำนาจเจริญ!I425"")"),0)</f>
        <v>0</v>
      </c>
      <c r="J530" s="198">
        <f ca="1">IFERROR(__xludf.DUMMYFUNCTION("IMPORTRANGE(""https://docs.google.com/spreadsheets/d/1XL5vhW3sbDhbH9Cz0tuDiY8C3ctxq1tqvaCgkFb8cCA/edit?usp=sharing"",""อำนาจเจริญ!J425"")"),0)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IFERROR(__xludf.DUMMYFUNCTION("IMPORTRANGE(""https://docs.google.com/spreadsheets/d/1XL5vhW3sbDhbH9Cz0tuDiY8C3ctxq1tqvaCgkFb8cCA/edit?usp=sharing"",""อำนาจเจริญ!I426"")"),0)</f>
        <v>0</v>
      </c>
      <c r="J531" s="198">
        <f ca="1">IFERROR(__xludf.DUMMYFUNCTION("IMPORTRANGE(""https://docs.google.com/spreadsheets/d/1XL5vhW3sbDhbH9Cz0tuDiY8C3ctxq1tqvaCgkFb8cCA/edit?usp=sharing"",""อำนาจเจริญ!J426"")"),0)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IFERROR(__xludf.DUMMYFUNCTION("IMPORTRANGE(""https://docs.google.com/spreadsheets/d/1XL5vhW3sbDhbH9Cz0tuDiY8C3ctxq1tqvaCgkFb8cCA/edit?usp=sharing"",""อำนาจเจริญ!I427"")"),0)</f>
        <v>0</v>
      </c>
      <c r="J532" s="466">
        <f ca="1">IFERROR(__xludf.DUMMYFUNCTION("IMPORTRANGE(""https://docs.google.com/spreadsheets/d/1XL5vhW3sbDhbH9Cz0tuDiY8C3ctxq1tqvaCgkFb8cCA/edit?usp=sharing"",""อำนาจเจริญ!J427"")"),0)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IFERROR(__xludf.DUMMYFUNCTION("IMPORTRANGE(""https://docs.google.com/spreadsheets/d/1XL5vhW3sbDhbH9Cz0tuDiY8C3ctxq1tqvaCgkFb8cCA/edit?usp=sharing"",""อำนาจเจริญ!I428"")"),22)</f>
        <v>22</v>
      </c>
      <c r="J533" s="410">
        <f ca="1">IFERROR(__xludf.DUMMYFUNCTION("IMPORTRANGE(""https://docs.google.com/spreadsheets/d/1XL5vhW3sbDhbH9Cz0tuDiY8C3ctxq1tqvaCgkFb8cCA/edit?usp=sharing"",""อำนาจเจริญ!J428"")"),22)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IFERROR(__xludf.DUMMYFUNCTION("IMPORTRANGE(""https://docs.google.com/spreadsheets/d/1XL5vhW3sbDhbH9Cz0tuDiY8C3ctxq1tqvaCgkFb8cCA/edit?usp=sharing"",""อำนาจเจริญ!L428"")"),34340)</f>
        <v>34340</v>
      </c>
      <c r="M533" s="412"/>
      <c r="N533" s="412">
        <f ca="1">IFERROR(__xludf.DUMMYFUNCTION("IMPORTRANGE(""https://docs.google.com/spreadsheets/d/1XL5vhW3sbDhbH9Cz0tuDiY8C3ctxq1tqvaCgkFb8cCA/edit?usp=sharing"",""อำนาจเจริญ!M428"")"),23700)</f>
        <v>23700</v>
      </c>
      <c r="O533" s="412">
        <f t="shared" ref="O533:O537" ca="1" si="118">+IF(L533&gt;0,N533*100/L533,0)</f>
        <v>69.015725101921959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IFERROR(__xludf.DUMMYFUNCTION("IMPORTRANGE(""https://docs.google.com/spreadsheets/d/1XL5vhW3sbDhbH9Cz0tuDiY8C3ctxq1tqvaCgkFb8cCA/edit?usp=sharing"",""อำนาจเจริญ!L429"")"),0)</f>
        <v>0</v>
      </c>
      <c r="M534" s="164"/>
      <c r="N534" s="169">
        <f ca="1">IFERROR(__xludf.DUMMYFUNCTION("IMPORTRANGE(""https://docs.google.com/spreadsheets/d/1XL5vhW3sbDhbH9Cz0tuDiY8C3ctxq1tqvaCgkFb8cCA/edit?usp=sharing"",""อำนาจเจริญ!M429"")"),0)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IFERROR(__xludf.DUMMYFUNCTION("IMPORTRANGE(""https://docs.google.com/spreadsheets/d/1XL5vhW3sbDhbH9Cz0tuDiY8C3ctxq1tqvaCgkFb8cCA/edit?usp=sharing"",""อำนาจเจริญ!L430"")"),34340)</f>
        <v>34340</v>
      </c>
      <c r="M535" s="165"/>
      <c r="N535" s="169">
        <f ca="1">IFERROR(__xludf.DUMMYFUNCTION("IMPORTRANGE(""https://docs.google.com/spreadsheets/d/1XL5vhW3sbDhbH9Cz0tuDiY8C3ctxq1tqvaCgkFb8cCA/edit?usp=sharing"",""อำนาจเจริญ!M430"")"),23700)</f>
        <v>23700</v>
      </c>
      <c r="O535" s="169">
        <f t="shared" ca="1" si="118"/>
        <v>69.015725101921959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IFERROR(__xludf.DUMMYFUNCTION("IMPORTRANGE(""https://docs.google.com/spreadsheets/d/1XL5vhW3sbDhbH9Cz0tuDiY8C3ctxq1tqvaCgkFb8cCA/edit?usp=sharing"",""อำนาจเจริญ!L431"")"),0)</f>
        <v>0</v>
      </c>
      <c r="M536" s="169"/>
      <c r="N536" s="169">
        <f ca="1">IFERROR(__xludf.DUMMYFUNCTION("IMPORTRANGE(""https://docs.google.com/spreadsheets/d/1XL5vhW3sbDhbH9Cz0tuDiY8C3ctxq1tqvaCgkFb8cCA/edit?usp=sharing"",""อำนาจเจริญ!M431"")"),0)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IFERROR(__xludf.DUMMYFUNCTION("IMPORTRANGE(""https://docs.google.com/spreadsheets/d/1XL5vhW3sbDhbH9Cz0tuDiY8C3ctxq1tqvaCgkFb8cCA/edit?usp=sharing"",""อำนาจเจริญ!L432"")"),34340)</f>
        <v>34340</v>
      </c>
      <c r="M537" s="169"/>
      <c r="N537" s="169">
        <f ca="1">IFERROR(__xludf.DUMMYFUNCTION("IMPORTRANGE(""https://docs.google.com/spreadsheets/d/1XL5vhW3sbDhbH9Cz0tuDiY8C3ctxq1tqvaCgkFb8cCA/edit?usp=sharing"",""อำนาจเจริญ!M432"")"),23700)</f>
        <v>23700</v>
      </c>
      <c r="O537" s="169">
        <f t="shared" ca="1" si="118"/>
        <v>69.015725101921959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IFERROR(__xludf.DUMMYFUNCTION("IMPORTRANGE(""https://docs.google.com/spreadsheets/d/1XL5vhW3sbDhbH9Cz0tuDiY8C3ctxq1tqvaCgkFb8cCA/edit?usp=sharing"",""อำนาจเจริญ!M433"")"),14980)</f>
        <v>14980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IFERROR(__xludf.DUMMYFUNCTION("IMPORTRANGE(""https://docs.google.com/spreadsheets/d/1XL5vhW3sbDhbH9Cz0tuDiY8C3ctxq1tqvaCgkFb8cCA/edit?usp=sharing"",""อำนาจเจริญ!M434"")"),0)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IFERROR(__xludf.DUMMYFUNCTION("IMPORTRANGE(""https://docs.google.com/spreadsheets/d/1XL5vhW3sbDhbH9Cz0tuDiY8C3ctxq1tqvaCgkFb8cCA/edit?usp=sharing"",""อำนาจเจริญ!M435"")"),0)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IFERROR(__xludf.DUMMYFUNCTION("IMPORTRANGE(""https://docs.google.com/spreadsheets/d/1XL5vhW3sbDhbH9Cz0tuDiY8C3ctxq1tqvaCgkFb8cCA/edit?usp=sharing"",""อำนาจเจริญ!M436"")"),8720)</f>
        <v>8720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IFERROR(__xludf.DUMMYFUNCTION("IMPORTRANGE(""https://docs.google.com/spreadsheets/d/1XL5vhW3sbDhbH9Cz0tuDiY8C3ctxq1tqvaCgkFb8cCA/edit?usp=sharing"",""อำนาจเจริญ!J438"")"),0)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IFERROR(__xludf.DUMMYFUNCTION("IMPORTRANGE(""https://docs.google.com/spreadsheets/d/1XL5vhW3sbDhbH9Cz0tuDiY8C3ctxq1tqvaCgkFb8cCA/edit?usp=sharing"",""อำนาจเจริญ!J439"")"),1)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IFERROR(__xludf.DUMMYFUNCTION("IMPORTRANGE(""https://docs.google.com/spreadsheets/d/1XL5vhW3sbDhbH9Cz0tuDiY8C3ctxq1tqvaCgkFb8cCA/edit?usp=sharing"",""อำนาจเจริญ!J440"")"),1)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IFERROR(__xludf.DUMMYFUNCTION("IMPORTRANGE(""https://docs.google.com/spreadsheets/d/1XL5vhW3sbDhbH9Cz0tuDiY8C3ctxq1tqvaCgkFb8cCA/edit?usp=sharing"",""อำนาจเจริญ!J441"")"),1)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IFERROR(__xludf.DUMMYFUNCTION("IMPORTRANGE(""https://docs.google.com/spreadsheets/d/1XL5vhW3sbDhbH9Cz0tuDiY8C3ctxq1tqvaCgkFb8cCA/edit?usp=sharing"",""อำนาจเจริญ!I442"")"),22)</f>
        <v>22</v>
      </c>
      <c r="J547" s="189">
        <f ca="1">IFERROR(__xludf.DUMMYFUNCTION("IMPORTRANGE(""https://docs.google.com/spreadsheets/d/1XL5vhW3sbDhbH9Cz0tuDiY8C3ctxq1tqvaCgkFb8cCA/edit?usp=sharing"",""อำนาจเจริญ!J442"")"),22)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IFERROR(__xludf.DUMMYFUNCTION("IMPORTRANGE(""https://docs.google.com/spreadsheets/d/1XL5vhW3sbDhbH9Cz0tuDiY8C3ctxq1tqvaCgkFb8cCA/edit?usp=sharing"",""อำนาจเจริญ!J166"")"),0)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IFERROR(__xludf.DUMMYFUNCTION("IMPORTRANGE(""https://docs.google.com/spreadsheets/d/1XL5vhW3sbDhbH9Cz0tuDiY8C3ctxq1tqvaCgkFb8cCA/edit?usp=sharing"",""อำนาจเจริญ!J444"")"),0)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IFERROR(__xludf.DUMMYFUNCTION("IMPORTRANGE(""https://docs.google.com/spreadsheets/d/1XL5vhW3sbDhbH9Cz0tuDiY8C3ctxq1tqvaCgkFb8cCA/edit?usp=sharing"",""อำนาจเจริญ!J445"")"),0)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IFERROR(__xludf.DUMMYFUNCTION("IMPORTRANGE(""https://docs.google.com/spreadsheets/d/1XL5vhW3sbDhbH9Cz0tuDiY8C3ctxq1tqvaCgkFb8cCA/edit?usp=sharing"",""อำนาจเจริญ!I446"")"),0)</f>
        <v>0</v>
      </c>
      <c r="J551" s="410">
        <f ca="1">IFERROR(__xludf.DUMMYFUNCTION("IMPORTRANGE(""https://docs.google.com/spreadsheets/d/1XL5vhW3sbDhbH9Cz0tuDiY8C3ctxq1tqvaCgkFb8cCA/edit?usp=sharing"",""อำนาจเจริญ!J446"")"),0)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IFERROR(__xludf.DUMMYFUNCTION("IMPORTRANGE(""https://docs.google.com/spreadsheets/d/1XL5vhW3sbDhbH9Cz0tuDiY8C3ctxq1tqvaCgkFb8cCA/edit?usp=sharing"",""อำนาจเจริญ!L446"")"),0)</f>
        <v>0</v>
      </c>
      <c r="M551" s="412"/>
      <c r="N551" s="412">
        <f ca="1">IFERROR(__xludf.DUMMYFUNCTION("IMPORTRANGE(""https://docs.google.com/spreadsheets/d/1XL5vhW3sbDhbH9Cz0tuDiY8C3ctxq1tqvaCgkFb8cCA/edit?usp=sharing"",""อำนาจเจริญ!M446"")"),0)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IFERROR(__xludf.DUMMYFUNCTION("IMPORTRANGE(""https://docs.google.com/spreadsheets/d/1XL5vhW3sbDhbH9Cz0tuDiY8C3ctxq1tqvaCgkFb8cCA/edit?usp=sharing"",""อำนาจเจริญ!L447"")"),0)</f>
        <v>0</v>
      </c>
      <c r="M552" s="164"/>
      <c r="N552" s="169">
        <f ca="1">IFERROR(__xludf.DUMMYFUNCTION("IMPORTRANGE(""https://docs.google.com/spreadsheets/d/1XL5vhW3sbDhbH9Cz0tuDiY8C3ctxq1tqvaCgkFb8cCA/edit?usp=sharing"",""อำนาจเจริญ!M447"")"),0)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IFERROR(__xludf.DUMMYFUNCTION("IMPORTRANGE(""https://docs.google.com/spreadsheets/d/1XL5vhW3sbDhbH9Cz0tuDiY8C3ctxq1tqvaCgkFb8cCA/edit?usp=sharing"",""อำนาจเจริญ!L448"")"),0)</f>
        <v>0</v>
      </c>
      <c r="M553" s="165"/>
      <c r="N553" s="169">
        <f ca="1">IFERROR(__xludf.DUMMYFUNCTION("IMPORTRANGE(""https://docs.google.com/spreadsheets/d/1XL5vhW3sbDhbH9Cz0tuDiY8C3ctxq1tqvaCgkFb8cCA/edit?usp=sharing"",""อำนาจเจริญ!M448"")"),0)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IFERROR(__xludf.DUMMYFUNCTION("IMPORTRANGE(""https://docs.google.com/spreadsheets/d/1XL5vhW3sbDhbH9Cz0tuDiY8C3ctxq1tqvaCgkFb8cCA/edit?usp=sharing"",""อำนาจเจริญ!L449"")"),0)</f>
        <v>0</v>
      </c>
      <c r="M554" s="169"/>
      <c r="N554" s="169">
        <f ca="1">IFERROR(__xludf.DUMMYFUNCTION("IMPORTRANGE(""https://docs.google.com/spreadsheets/d/1XL5vhW3sbDhbH9Cz0tuDiY8C3ctxq1tqvaCgkFb8cCA/edit?usp=sharing"",""อำนาจเจริญ!M449"")"),0)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IFERROR(__xludf.DUMMYFUNCTION("IMPORTRANGE(""https://docs.google.com/spreadsheets/d/1XL5vhW3sbDhbH9Cz0tuDiY8C3ctxq1tqvaCgkFb8cCA/edit?usp=sharing"",""อำนาจเจริญ!L450"")"),0)</f>
        <v>0</v>
      </c>
      <c r="M555" s="169"/>
      <c r="N555" s="169">
        <f ca="1">IFERROR(__xludf.DUMMYFUNCTION("IMPORTRANGE(""https://docs.google.com/spreadsheets/d/1XL5vhW3sbDhbH9Cz0tuDiY8C3ctxq1tqvaCgkFb8cCA/edit?usp=sharing"",""อำนาจเจริญ!M450"")"),0)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IFERROR(__xludf.DUMMYFUNCTION("IMPORTRANGE(""https://docs.google.com/spreadsheets/d/1XL5vhW3sbDhbH9Cz0tuDiY8C3ctxq1tqvaCgkFb8cCA/edit?usp=sharing"",""อำนาจเจริญ!M451"")"),0)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IFERROR(__xludf.DUMMYFUNCTION("IMPORTRANGE(""https://docs.google.com/spreadsheets/d/1XL5vhW3sbDhbH9Cz0tuDiY8C3ctxq1tqvaCgkFb8cCA/edit?usp=sharing"",""อำนาจเจริญ!M452"")"),0)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IFERROR(__xludf.DUMMYFUNCTION("IMPORTRANGE(""https://docs.google.com/spreadsheets/d/1XL5vhW3sbDhbH9Cz0tuDiY8C3ctxq1tqvaCgkFb8cCA/edit?usp=sharing"",""อำนาจเจริญ!M453"")"),0)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IFERROR(__xludf.DUMMYFUNCTION("IMPORTRANGE(""https://docs.google.com/spreadsheets/d/1XL5vhW3sbDhbH9Cz0tuDiY8C3ctxq1tqvaCgkFb8cCA/edit?usp=sharing"",""อำนาจเจริญ!M454"")"),0)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IFERROR(__xludf.DUMMYFUNCTION("IMPORTRANGE(""https://docs.google.com/spreadsheets/d/1XL5vhW3sbDhbH9Cz0tuDiY8C3ctxq1tqvaCgkFb8cCA/edit?usp=sharing"",""อำนาจเจริญ!I455"")"),0)</f>
        <v>0</v>
      </c>
      <c r="J560" s="162">
        <f ca="1">IFERROR(__xludf.DUMMYFUNCTION("IMPORTRANGE(""https://docs.google.com/spreadsheets/d/1XL5vhW3sbDhbH9Cz0tuDiY8C3ctxq1tqvaCgkFb8cCA/edit?usp=sharing"",""อำนาจเจริญ!J455"")"),0)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IFERROR(__xludf.DUMMYFUNCTION("IMPORTRANGE(""https://docs.google.com/spreadsheets/d/1XL5vhW3sbDhbH9Cz0tuDiY8C3ctxq1tqvaCgkFb8cCA/edit?usp=sharing"",""อำนาจเจริญ!I456"")"),0)</f>
        <v>0</v>
      </c>
      <c r="J561" s="204">
        <f ca="1">IFERROR(__xludf.DUMMYFUNCTION("IMPORTRANGE(""https://docs.google.com/spreadsheets/d/1XL5vhW3sbDhbH9Cz0tuDiY8C3ctxq1tqvaCgkFb8cCA/edit?usp=sharing"",""อำนาจเจริญ!J456"")"),0)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IFERROR(__xludf.DUMMYFUNCTION("IMPORTRANGE(""https://docs.google.com/spreadsheets/d/1XL5vhW3sbDhbH9Cz0tuDiY8C3ctxq1tqvaCgkFb8cCA/edit?usp=sharing"",""อำนาจเจริญ!I459"")"),1460)</f>
        <v>1460</v>
      </c>
      <c r="J564" s="371">
        <f ca="1">IFERROR(__xludf.DUMMYFUNCTION("IMPORTRANGE(""https://docs.google.com/spreadsheets/d/1XL5vhW3sbDhbH9Cz0tuDiY8C3ctxq1tqvaCgkFb8cCA/edit?usp=sharing"",""อำนาจเจริญ!J459"")"),875)</f>
        <v>875</v>
      </c>
      <c r="K564" s="372">
        <f ca="1">IF(I564&gt;0,J564*100/I564,0)</f>
        <v>59.93150684931507</v>
      </c>
      <c r="L564" s="373">
        <f ca="1">IFERROR(__xludf.DUMMYFUNCTION("IMPORTRANGE(""https://docs.google.com/spreadsheets/d/1XL5vhW3sbDhbH9Cz0tuDiY8C3ctxq1tqvaCgkFb8cCA/edit?usp=sharing"",""อำนาจเจริญ!L459"")"),127280)</f>
        <v>127280</v>
      </c>
      <c r="M564" s="373"/>
      <c r="N564" s="373">
        <f ca="1">IFERROR(__xludf.DUMMYFUNCTION("IMPORTRANGE(""https://docs.google.com/spreadsheets/d/1XL5vhW3sbDhbH9Cz0tuDiY8C3ctxq1tqvaCgkFb8cCA/edit?usp=sharing"",""อำนาจเจริญ!M459"")"),51295)</f>
        <v>51295</v>
      </c>
      <c r="O564" s="373">
        <f t="shared" ref="O564:O568" ca="1" si="122">+IF(L564&gt;0,N564*100/L564,0)</f>
        <v>40.30091137649277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IFERROR(__xludf.DUMMYFUNCTION("IMPORTRANGE(""https://docs.google.com/spreadsheets/d/1XL5vhW3sbDhbH9Cz0tuDiY8C3ctxq1tqvaCgkFb8cCA/edit?usp=sharing"",""อำนาจเจริญ!L460"")"),0)</f>
        <v>0</v>
      </c>
      <c r="M565" s="164"/>
      <c r="N565" s="169">
        <f ca="1">IFERROR(__xludf.DUMMYFUNCTION("IMPORTRANGE(""https://docs.google.com/spreadsheets/d/1XL5vhW3sbDhbH9Cz0tuDiY8C3ctxq1tqvaCgkFb8cCA/edit?usp=sharing"",""อำนาจเจริญ!M460"")"),0)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IFERROR(__xludf.DUMMYFUNCTION("IMPORTRANGE(""https://docs.google.com/spreadsheets/d/1XL5vhW3sbDhbH9Cz0tuDiY8C3ctxq1tqvaCgkFb8cCA/edit?usp=sharing"",""อำนาจเจริญ!L461"")"),127280)</f>
        <v>127280</v>
      </c>
      <c r="M566" s="165"/>
      <c r="N566" s="169">
        <f ca="1">IFERROR(__xludf.DUMMYFUNCTION("IMPORTRANGE(""https://docs.google.com/spreadsheets/d/1XL5vhW3sbDhbH9Cz0tuDiY8C3ctxq1tqvaCgkFb8cCA/edit?usp=sharing"",""อำนาจเจริญ!M461"")"),51295)</f>
        <v>51295</v>
      </c>
      <c r="O566" s="169">
        <f t="shared" ca="1" si="122"/>
        <v>40.30091137649277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IFERROR(__xludf.DUMMYFUNCTION("IMPORTRANGE(""https://docs.google.com/spreadsheets/d/1XL5vhW3sbDhbH9Cz0tuDiY8C3ctxq1tqvaCgkFb8cCA/edit?usp=sharing"",""อำนาจเจริญ!L462"")"),0)</f>
        <v>0</v>
      </c>
      <c r="M567" s="169"/>
      <c r="N567" s="169">
        <f ca="1">IFERROR(__xludf.DUMMYFUNCTION("IMPORTRANGE(""https://docs.google.com/spreadsheets/d/1XL5vhW3sbDhbH9Cz0tuDiY8C3ctxq1tqvaCgkFb8cCA/edit?usp=sharing"",""อำนาจเจริญ!M462"")"),0)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IFERROR(__xludf.DUMMYFUNCTION("IMPORTRANGE(""https://docs.google.com/spreadsheets/d/1XL5vhW3sbDhbH9Cz0tuDiY8C3ctxq1tqvaCgkFb8cCA/edit?usp=sharing"",""อำนาจเจริญ!L463"")"),127280)</f>
        <v>127280</v>
      </c>
      <c r="M568" s="169"/>
      <c r="N568" s="169">
        <f ca="1">IFERROR(__xludf.DUMMYFUNCTION("IMPORTRANGE(""https://docs.google.com/spreadsheets/d/1XL5vhW3sbDhbH9Cz0tuDiY8C3ctxq1tqvaCgkFb8cCA/edit?usp=sharing"",""อำนาจเจริญ!M463"")"),51295)</f>
        <v>51295</v>
      </c>
      <c r="O568" s="169">
        <f t="shared" ca="1" si="122"/>
        <v>40.30091137649277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IFERROR(__xludf.DUMMYFUNCTION("IMPORTRANGE(""https://docs.google.com/spreadsheets/d/1XL5vhW3sbDhbH9Cz0tuDiY8C3ctxq1tqvaCgkFb8cCA/edit?usp=sharing"",""อำนาจเจริญ!M464"")"),0)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IFERROR(__xludf.DUMMYFUNCTION("IMPORTRANGE(""https://docs.google.com/spreadsheets/d/1XL5vhW3sbDhbH9Cz0tuDiY8C3ctxq1tqvaCgkFb8cCA/edit?usp=sharing"",""อำนาจเจริญ!M465"")"),0)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IFERROR(__xludf.DUMMYFUNCTION("IMPORTRANGE(""https://docs.google.com/spreadsheets/d/1XL5vhW3sbDhbH9Cz0tuDiY8C3ctxq1tqvaCgkFb8cCA/edit?usp=sharing"",""อำนาจเจริญ!M466"")"),44000)</f>
        <v>44000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IFERROR(__xludf.DUMMYFUNCTION("IMPORTRANGE(""https://docs.google.com/spreadsheets/d/1XL5vhW3sbDhbH9Cz0tuDiY8C3ctxq1tqvaCgkFb8cCA/edit?usp=sharing"",""อำนาจเจริญ!M467"")"),7295)</f>
        <v>7295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IFERROR(__xludf.DUMMYFUNCTION("IMPORTRANGE(""https://docs.google.com/spreadsheets/d/1XL5vhW3sbDhbH9Cz0tuDiY8C3ctxq1tqvaCgkFb8cCA/edit?usp=sharing"",""อำนาจเจริญ!I468"")"),1460)</f>
        <v>1460</v>
      </c>
      <c r="J573" s="420">
        <f ca="1">IFERROR(__xludf.DUMMYFUNCTION("IMPORTRANGE(""https://docs.google.com/spreadsheets/d/1XL5vhW3sbDhbH9Cz0tuDiY8C3ctxq1tqvaCgkFb8cCA/edit?usp=sharing"",""อำนาจเจริญ!J468"")"),875)</f>
        <v>875</v>
      </c>
      <c r="K573" s="202">
        <f ca="1">IF(I573&gt;0,J573*100/I573,0)</f>
        <v>59.93150684931507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IFERROR(__xludf.DUMMYFUNCTION("IMPORTRANGE(""https://docs.google.com/spreadsheets/d/1XL5vhW3sbDhbH9Cz0tuDiY8C3ctxq1tqvaCgkFb8cCA/edit?usp=sharing"",""อำนาจเจริญ!I470"")"),10)</f>
        <v>10</v>
      </c>
      <c r="J575" s="198">
        <f ca="1">IFERROR(__xludf.DUMMYFUNCTION("IMPORTRANGE(""https://docs.google.com/spreadsheets/d/1XL5vhW3sbDhbH9Cz0tuDiY8C3ctxq1tqvaCgkFb8cCA/edit?usp=sharing"",""อำนาจเจริญ!J470"")"),6)</f>
        <v>6</v>
      </c>
      <c r="K575" s="163">
        <f t="shared" ref="K575:K579" ca="1" si="123">IF(I575&gt;0,J575*100/I575,0)</f>
        <v>60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IFERROR(__xludf.DUMMYFUNCTION("IMPORTRANGE(""https://docs.google.com/spreadsheets/d/1XL5vhW3sbDhbH9Cz0tuDiY8C3ctxq1tqvaCgkFb8cCA/edit?usp=sharing"",""อำนาจเจริญ!I471"")"),0)</f>
        <v>0</v>
      </c>
      <c r="J576" s="198">
        <f ca="1">IFERROR(__xludf.DUMMYFUNCTION("IMPORTRANGE(""https://docs.google.com/spreadsheets/d/1XL5vhW3sbDhbH9Cz0tuDiY8C3ctxq1tqvaCgkFb8cCA/edit?usp=sharing"",""อำนาจเจริญ!J471"")"),112)</f>
        <v>112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IFERROR(__xludf.DUMMYFUNCTION("IMPORTRANGE(""https://docs.google.com/spreadsheets/d/1XL5vhW3sbDhbH9Cz0tuDiY8C3ctxq1tqvaCgkFb8cCA/edit?usp=sharing"",""อำนาจเจริญ!I472"")"),0)</f>
        <v>0</v>
      </c>
      <c r="J577" s="189">
        <f ca="1">IFERROR(__xludf.DUMMYFUNCTION("IMPORTRANGE(""https://docs.google.com/spreadsheets/d/1XL5vhW3sbDhbH9Cz0tuDiY8C3ctxq1tqvaCgkFb8cCA/edit?usp=sharing"",""อำนาจเจริญ!J472"")"),763)</f>
        <v>763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IFERROR(__xludf.DUMMYFUNCTION("IMPORTRANGE(""https://docs.google.com/spreadsheets/d/1XL5vhW3sbDhbH9Cz0tuDiY8C3ctxq1tqvaCgkFb8cCA/edit?usp=sharing"",""อำนาจเจริญ!I473"")"),0)</f>
        <v>0</v>
      </c>
      <c r="J578" s="198">
        <f ca="1">IFERROR(__xludf.DUMMYFUNCTION("IMPORTRANGE(""https://docs.google.com/spreadsheets/d/1XL5vhW3sbDhbH9Cz0tuDiY8C3ctxq1tqvaCgkFb8cCA/edit?usp=sharing"",""อำนาจเจริญ!J473"")"),0)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IFERROR(__xludf.DUMMYFUNCTION("IMPORTRANGE(""https://docs.google.com/spreadsheets/d/1XL5vhW3sbDhbH9Cz0tuDiY8C3ctxq1tqvaCgkFb8cCA/edit?usp=sharing"",""อำนาจเจริญ!I474"")"),0)</f>
        <v>0</v>
      </c>
      <c r="J579" s="198">
        <f ca="1">IFERROR(__xludf.DUMMYFUNCTION("IMPORTRANGE(""https://docs.google.com/spreadsheets/d/1XL5vhW3sbDhbH9Cz0tuDiY8C3ctxq1tqvaCgkFb8cCA/edit?usp=sharing"",""อำนาจเจริญ!J474"")"),0)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IFERROR(__xludf.DUMMYFUNCTION("IMPORTRANGE(""https://docs.google.com/spreadsheets/d/1XL5vhW3sbDhbH9Cz0tuDiY8C3ctxq1tqvaCgkFb8cCA/edit?usp=sharing"",""อำนาจเจริญ!I475"")"),0)</f>
        <v>0</v>
      </c>
      <c r="J580" s="371">
        <f ca="1">IFERROR(__xludf.DUMMYFUNCTION("IMPORTRANGE(""https://docs.google.com/spreadsheets/d/1XL5vhW3sbDhbH9Cz0tuDiY8C3ctxq1tqvaCgkFb8cCA/edit?usp=sharing"",""อำนาจเจริญ!J475"")"),0)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IFERROR(__xludf.DUMMYFUNCTION("IMPORTRANGE(""https://docs.google.com/spreadsheets/d/1XL5vhW3sbDhbH9Cz0tuDiY8C3ctxq1tqvaCgkFb8cCA/edit?usp=sharing"",""อำนาจเจริญ!L475"")"),0)</f>
        <v>0</v>
      </c>
      <c r="M580" s="373"/>
      <c r="N580" s="373">
        <f ca="1">IFERROR(__xludf.DUMMYFUNCTION("IMPORTRANGE(""https://docs.google.com/spreadsheets/d/1XL5vhW3sbDhbH9Cz0tuDiY8C3ctxq1tqvaCgkFb8cCA/edit?usp=sharing"",""อำนาจเจริญ!M475"")"),0)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IFERROR(__xludf.DUMMYFUNCTION("IMPORTRANGE(""https://docs.google.com/spreadsheets/d/1XL5vhW3sbDhbH9Cz0tuDiY8C3ctxq1tqvaCgkFb8cCA/edit?usp=sharing"",""อำนาจเจริญ!L476"")"),0)</f>
        <v>0</v>
      </c>
      <c r="M581" s="164"/>
      <c r="N581" s="169">
        <f ca="1">IFERROR(__xludf.DUMMYFUNCTION("IMPORTRANGE(""https://docs.google.com/spreadsheets/d/1XL5vhW3sbDhbH9Cz0tuDiY8C3ctxq1tqvaCgkFb8cCA/edit?usp=sharing"",""อำนาจเจริญ!M476"")"),0)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IFERROR(__xludf.DUMMYFUNCTION("IMPORTRANGE(""https://docs.google.com/spreadsheets/d/1XL5vhW3sbDhbH9Cz0tuDiY8C3ctxq1tqvaCgkFb8cCA/edit?usp=sharing"",""อำนาจเจริญ!L477"")"),0)</f>
        <v>0</v>
      </c>
      <c r="M582" s="165"/>
      <c r="N582" s="169">
        <f ca="1">IFERROR(__xludf.DUMMYFUNCTION("IMPORTRANGE(""https://docs.google.com/spreadsheets/d/1XL5vhW3sbDhbH9Cz0tuDiY8C3ctxq1tqvaCgkFb8cCA/edit?usp=sharing"",""อำนาจเจริญ!M477"")"),0)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IFERROR(__xludf.DUMMYFUNCTION("IMPORTRANGE(""https://docs.google.com/spreadsheets/d/1XL5vhW3sbDhbH9Cz0tuDiY8C3ctxq1tqvaCgkFb8cCA/edit?usp=sharing"",""อำนาจเจริญ!L478"")"),0)</f>
        <v>0</v>
      </c>
      <c r="M583" s="169"/>
      <c r="N583" s="169">
        <f ca="1">IFERROR(__xludf.DUMMYFUNCTION("IMPORTRANGE(""https://docs.google.com/spreadsheets/d/1XL5vhW3sbDhbH9Cz0tuDiY8C3ctxq1tqvaCgkFb8cCA/edit?usp=sharing"",""อำนาจเจริญ!M478"")"),0)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IFERROR(__xludf.DUMMYFUNCTION("IMPORTRANGE(""https://docs.google.com/spreadsheets/d/1XL5vhW3sbDhbH9Cz0tuDiY8C3ctxq1tqvaCgkFb8cCA/edit?usp=sharing"",""อำนาจเจริญ!L479"")"),0)</f>
        <v>0</v>
      </c>
      <c r="M584" s="169"/>
      <c r="N584" s="169">
        <f ca="1">IFERROR(__xludf.DUMMYFUNCTION("IMPORTRANGE(""https://docs.google.com/spreadsheets/d/1XL5vhW3sbDhbH9Cz0tuDiY8C3ctxq1tqvaCgkFb8cCA/edit?usp=sharing"",""อำนาจเจริญ!M479"")"),0)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IFERROR(__xludf.DUMMYFUNCTION("IMPORTRANGE(""https://docs.google.com/spreadsheets/d/1XL5vhW3sbDhbH9Cz0tuDiY8C3ctxq1tqvaCgkFb8cCA/edit?usp=sharing"",""อำนาจเจริญ!M480"")"),0)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IFERROR(__xludf.DUMMYFUNCTION("IMPORTRANGE(""https://docs.google.com/spreadsheets/d/1XL5vhW3sbDhbH9Cz0tuDiY8C3ctxq1tqvaCgkFb8cCA/edit?usp=sharing"",""อำนาจเจริญ!M481"")"),0)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IFERROR(__xludf.DUMMYFUNCTION("IMPORTRANGE(""https://docs.google.com/spreadsheets/d/1XL5vhW3sbDhbH9Cz0tuDiY8C3ctxq1tqvaCgkFb8cCA/edit?usp=sharing"",""อำนาจเจริญ!M482"")"),0)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IFERROR(__xludf.DUMMYFUNCTION("IMPORTRANGE(""https://docs.google.com/spreadsheets/d/1XL5vhW3sbDhbH9Cz0tuDiY8C3ctxq1tqvaCgkFb8cCA/edit?usp=sharing"",""อำนาจเจริญ!M483"")"),0)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IFERROR(__xludf.DUMMYFUNCTION("IMPORTRANGE(""https://docs.google.com/spreadsheets/d/1XL5vhW3sbDhbH9Cz0tuDiY8C3ctxq1tqvaCgkFb8cCA/edit?usp=sharing"",""อำนาจเจริญ!I484"")"),0)</f>
        <v>0</v>
      </c>
      <c r="J589" s="188">
        <f ca="1">IFERROR(__xludf.DUMMYFUNCTION("IMPORTRANGE(""https://docs.google.com/spreadsheets/d/1XL5vhW3sbDhbH9Cz0tuDiY8C3ctxq1tqvaCgkFb8cCA/edit?usp=sharing"",""อำนาจเจริญ!J484"")"),0)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IFERROR(__xludf.DUMMYFUNCTION("IMPORTRANGE(""https://docs.google.com/spreadsheets/d/1XL5vhW3sbDhbH9Cz0tuDiY8C3ctxq1tqvaCgkFb8cCA/edit?usp=sharing"",""อำนาจเจริญ!I485"")"),0)</f>
        <v>0</v>
      </c>
      <c r="J590" s="188">
        <f ca="1">IFERROR(__xludf.DUMMYFUNCTION("IMPORTRANGE(""https://docs.google.com/spreadsheets/d/1XL5vhW3sbDhbH9Cz0tuDiY8C3ctxq1tqvaCgkFb8cCA/edit?usp=sharing"",""อำนาจเจริญ!J485"")"),0)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IFERROR(__xludf.DUMMYFUNCTION("IMPORTRANGE(""https://docs.google.com/spreadsheets/d/1XL5vhW3sbDhbH9Cz0tuDiY8C3ctxq1tqvaCgkFb8cCA/edit?usp=sharing"",""อำนาจเจริญ!I486"")"),0)</f>
        <v>0</v>
      </c>
      <c r="J591" s="188">
        <f ca="1">IFERROR(__xludf.DUMMYFUNCTION("IMPORTRANGE(""https://docs.google.com/spreadsheets/d/1XL5vhW3sbDhbH9Cz0tuDiY8C3ctxq1tqvaCgkFb8cCA/edit?usp=sharing"",""อำนาจเจริญ!J486"")"),0)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IFERROR(__xludf.DUMMYFUNCTION("IMPORTRANGE(""https://docs.google.com/spreadsheets/d/1XL5vhW3sbDhbH9Cz0tuDiY8C3ctxq1tqvaCgkFb8cCA/edit?usp=sharing"",""อำนาจเจริญ!I487"")"),0)</f>
        <v>0</v>
      </c>
      <c r="J592" s="188">
        <f ca="1">IFERROR(__xludf.DUMMYFUNCTION("IMPORTRANGE(""https://docs.google.com/spreadsheets/d/1XL5vhW3sbDhbH9Cz0tuDiY8C3ctxq1tqvaCgkFb8cCA/edit?usp=sharing"",""อำนาจเจริญ!J487"")"),0)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IFERROR(__xludf.DUMMYFUNCTION("IMPORTRANGE(""https://docs.google.com/spreadsheets/d/1XL5vhW3sbDhbH9Cz0tuDiY8C3ctxq1tqvaCgkFb8cCA/edit?usp=sharing"",""อำนาจเจริญ!I488"")"),0)</f>
        <v>0</v>
      </c>
      <c r="J593" s="188">
        <f ca="1">IFERROR(__xludf.DUMMYFUNCTION("IMPORTRANGE(""https://docs.google.com/spreadsheets/d/1XL5vhW3sbDhbH9Cz0tuDiY8C3ctxq1tqvaCgkFb8cCA/edit?usp=sharing"",""อำนาจเจริญ!J488"")"),0)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IFERROR(__xludf.DUMMYFUNCTION("IMPORTRANGE(""https://docs.google.com/spreadsheets/d/1XL5vhW3sbDhbH9Cz0tuDiY8C3ctxq1tqvaCgkFb8cCA/edit?usp=sharing"",""อำนาจเจริญ!I489"")"),0)</f>
        <v>0</v>
      </c>
      <c r="J594" s="188">
        <f ca="1">IFERROR(__xludf.DUMMYFUNCTION("IMPORTRANGE(""https://docs.google.com/spreadsheets/d/1XL5vhW3sbDhbH9Cz0tuDiY8C3ctxq1tqvaCgkFb8cCA/edit?usp=sharing"",""อำนาจเจริญ!J489"")"),0)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IFERROR(__xludf.DUMMYFUNCTION("IMPORTRANGE(""https://docs.google.com/spreadsheets/d/1XL5vhW3sbDhbH9Cz0tuDiY8C3ctxq1tqvaCgkFb8cCA/edit?usp=sharing"",""อำนาจเจริญ!I490"")"),0)</f>
        <v>0</v>
      </c>
      <c r="J595" s="188">
        <f ca="1">IFERROR(__xludf.DUMMYFUNCTION("IMPORTRANGE(""https://docs.google.com/spreadsheets/d/1XL5vhW3sbDhbH9Cz0tuDiY8C3ctxq1tqvaCgkFb8cCA/edit?usp=sharing"",""อำนาจเจริญ!J490"")"),0)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IFERROR(__xludf.DUMMYFUNCTION("IMPORTRANGE(""https://docs.google.com/spreadsheets/d/1XL5vhW3sbDhbH9Cz0tuDiY8C3ctxq1tqvaCgkFb8cCA/edit?usp=sharing"",""อำนาจเจริญ!I491"")"),0)</f>
        <v>0</v>
      </c>
      <c r="J596" s="241">
        <f ca="1">IFERROR(__xludf.DUMMYFUNCTION("IMPORTRANGE(""https://docs.google.com/spreadsheets/d/1XL5vhW3sbDhbH9Cz0tuDiY8C3ctxq1tqvaCgkFb8cCA/edit?usp=sharing"",""อำนาจเจริญ!J491"")"),0)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IFERROR(__xludf.DUMMYFUNCTION("IMPORTRANGE(""https://docs.google.com/spreadsheets/d/1XL5vhW3sbDhbH9Cz0tuDiY8C3ctxq1tqvaCgkFb8cCA/edit?usp=sharing"",""อำนาจเจริญ!I492"")"),50)</f>
        <v>50</v>
      </c>
      <c r="J597" s="487">
        <f ca="1">IFERROR(__xludf.DUMMYFUNCTION("IMPORTRANGE(""https://docs.google.com/spreadsheets/d/1XL5vhW3sbDhbH9Cz0tuDiY8C3ctxq1tqvaCgkFb8cCA/edit?usp=sharing"",""อำนาจเจริญ!J492"")"),0)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IFERROR(__xludf.DUMMYFUNCTION("IMPORTRANGE(""https://docs.google.com/spreadsheets/d/1XL5vhW3sbDhbH9Cz0tuDiY8C3ctxq1tqvaCgkFb8cCA/edit?usp=sharing"",""อำนาจเจริญ!L492"")"),4550)</f>
        <v>4550</v>
      </c>
      <c r="M597" s="412"/>
      <c r="N597" s="412">
        <f ca="1">IFERROR(__xludf.DUMMYFUNCTION("IMPORTRANGE(""https://docs.google.com/spreadsheets/d/1XL5vhW3sbDhbH9Cz0tuDiY8C3ctxq1tqvaCgkFb8cCA/edit?usp=sharing"",""อำนาจเจริญ!M492"")"),1000)</f>
        <v>1000</v>
      </c>
      <c r="O597" s="412">
        <f t="shared" ref="O597:O601" ca="1" si="126">+IF(L597&gt;0,N597*100/L597,0)</f>
        <v>21.978021978021978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IFERROR(__xludf.DUMMYFUNCTION("IMPORTRANGE(""https://docs.google.com/spreadsheets/d/1XL5vhW3sbDhbH9Cz0tuDiY8C3ctxq1tqvaCgkFb8cCA/edit?usp=sharing"",""อำนาจเจริญ!L493"")"),0)</f>
        <v>0</v>
      </c>
      <c r="M598" s="164"/>
      <c r="N598" s="169">
        <f ca="1">IFERROR(__xludf.DUMMYFUNCTION("IMPORTRANGE(""https://docs.google.com/spreadsheets/d/1XL5vhW3sbDhbH9Cz0tuDiY8C3ctxq1tqvaCgkFb8cCA/edit?usp=sharing"",""อำนาจเจริญ!M493"")"),0)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IFERROR(__xludf.DUMMYFUNCTION("IMPORTRANGE(""https://docs.google.com/spreadsheets/d/1XL5vhW3sbDhbH9Cz0tuDiY8C3ctxq1tqvaCgkFb8cCA/edit?usp=sharing"",""อำนาจเจริญ!L494"")"),4550)</f>
        <v>4550</v>
      </c>
      <c r="M599" s="165"/>
      <c r="N599" s="169">
        <f ca="1">IFERROR(__xludf.DUMMYFUNCTION("IMPORTRANGE(""https://docs.google.com/spreadsheets/d/1XL5vhW3sbDhbH9Cz0tuDiY8C3ctxq1tqvaCgkFb8cCA/edit?usp=sharing"",""อำนาจเจริญ!M494"")"),1000)</f>
        <v>1000</v>
      </c>
      <c r="O599" s="169">
        <f t="shared" ca="1" si="126"/>
        <v>21.978021978021978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IFERROR(__xludf.DUMMYFUNCTION("IMPORTRANGE(""https://docs.google.com/spreadsheets/d/1XL5vhW3sbDhbH9Cz0tuDiY8C3ctxq1tqvaCgkFb8cCA/edit?usp=sharing"",""อำนาจเจริญ!L495"")"),0)</f>
        <v>0</v>
      </c>
      <c r="M600" s="169"/>
      <c r="N600" s="169">
        <f ca="1">IFERROR(__xludf.DUMMYFUNCTION("IMPORTRANGE(""https://docs.google.com/spreadsheets/d/1XL5vhW3sbDhbH9Cz0tuDiY8C3ctxq1tqvaCgkFb8cCA/edit?usp=sharing"",""อำนาจเจริญ!M495"")"),0)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IFERROR(__xludf.DUMMYFUNCTION("IMPORTRANGE(""https://docs.google.com/spreadsheets/d/1XL5vhW3sbDhbH9Cz0tuDiY8C3ctxq1tqvaCgkFb8cCA/edit?usp=sharing"",""อำนาจเจริญ!L496"")"),4550)</f>
        <v>4550</v>
      </c>
      <c r="M601" s="169"/>
      <c r="N601" s="169">
        <f ca="1">IFERROR(__xludf.DUMMYFUNCTION("IMPORTRANGE(""https://docs.google.com/spreadsheets/d/1XL5vhW3sbDhbH9Cz0tuDiY8C3ctxq1tqvaCgkFb8cCA/edit?usp=sharing"",""อำนาจเจริญ!M496"")"),1000)</f>
        <v>1000</v>
      </c>
      <c r="O601" s="169">
        <f t="shared" ca="1" si="126"/>
        <v>21.978021978021978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IFERROR(__xludf.DUMMYFUNCTION("IMPORTRANGE(""https://docs.google.com/spreadsheets/d/1XL5vhW3sbDhbH9Cz0tuDiY8C3ctxq1tqvaCgkFb8cCA/edit?usp=sharing"",""อำนาจเจริญ!M497"")"),0)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IFERROR(__xludf.DUMMYFUNCTION("IMPORTRANGE(""https://docs.google.com/spreadsheets/d/1XL5vhW3sbDhbH9Cz0tuDiY8C3ctxq1tqvaCgkFb8cCA/edit?usp=sharing"",""อำนาจเจริญ!M498"")"),0)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IFERROR(__xludf.DUMMYFUNCTION("IMPORTRANGE(""https://docs.google.com/spreadsheets/d/1XL5vhW3sbDhbH9Cz0tuDiY8C3ctxq1tqvaCgkFb8cCA/edit?usp=sharing"",""อำนาจเจริญ!M499"")"),0)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IFERROR(__xludf.DUMMYFUNCTION("IMPORTRANGE(""https://docs.google.com/spreadsheets/d/1XL5vhW3sbDhbH9Cz0tuDiY8C3ctxq1tqvaCgkFb8cCA/edit?usp=sharing"",""อำนาจเจริญ!M500"")"),1000)</f>
        <v>1000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IFERROR(__xludf.DUMMYFUNCTION("IMPORTRANGE(""https://docs.google.com/spreadsheets/d/1XL5vhW3sbDhbH9Cz0tuDiY8C3ctxq1tqvaCgkFb8cCA/edit?usp=sharing"",""อำนาจเจริญ!J502"")"),0)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IFERROR(__xludf.DUMMYFUNCTION("IMPORTRANGE(""https://docs.google.com/spreadsheets/d/1XL5vhW3sbDhbH9Cz0tuDiY8C3ctxq1tqvaCgkFb8cCA/edit?usp=sharing"",""อำนาจเจริญ!J503"")"),1)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539"/>
      <c r="B609" s="540"/>
      <c r="C609" s="540"/>
      <c r="D609" s="541"/>
      <c r="E609" s="542" t="s">
        <v>46</v>
      </c>
      <c r="F609" s="543"/>
      <c r="G609" s="544"/>
      <c r="H609" s="545"/>
      <c r="I609" s="546"/>
      <c r="J609" s="546">
        <f ca="1">IFERROR(__xludf.DUMMYFUNCTION("IMPORTRANGE(""https://docs.google.com/spreadsheets/d/1XL5vhW3sbDhbH9Cz0tuDiY8C3ctxq1tqvaCgkFb8cCA/edit?usp=sharing"",""อำนาจเจริญ!J166"")"),0)</f>
        <v>0</v>
      </c>
      <c r="K609" s="547"/>
      <c r="L609" s="548"/>
      <c r="M609" s="548"/>
      <c r="N609" s="548"/>
      <c r="O609" s="548"/>
      <c r="P609" s="548"/>
    </row>
    <row r="610" spans="1:16" ht="21.75" hidden="1" customHeight="1" x14ac:dyDescent="0.35">
      <c r="A610" s="539"/>
      <c r="B610" s="540"/>
      <c r="C610" s="540"/>
      <c r="D610" s="541"/>
      <c r="E610" s="542" t="s">
        <v>47</v>
      </c>
      <c r="F610" s="543"/>
      <c r="G610" s="544"/>
      <c r="H610" s="545"/>
      <c r="I610" s="546"/>
      <c r="J610" s="546">
        <f ca="1">IFERROR(__xludf.DUMMYFUNCTION("IMPORTRANGE(""https://docs.google.com/spreadsheets/d/1XL5vhW3sbDhbH9Cz0tuDiY8C3ctxq1tqvaCgkFb8cCA/edit?usp=sharing"",""อำนาจเจริญ!J166"")"),0)</f>
        <v>0</v>
      </c>
      <c r="K610" s="547"/>
      <c r="L610" s="548"/>
      <c r="M610" s="548"/>
      <c r="N610" s="548"/>
      <c r="O610" s="548"/>
      <c r="P610" s="548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IFERROR(__xludf.DUMMYFUNCTION("IMPORTRANGE(""https://docs.google.com/spreadsheets/d/1XL5vhW3sbDhbH9Cz0tuDiY8C3ctxq1tqvaCgkFb8cCA/edit?usp=sharing"",""อำนาจเจริญ!I506"")"),50)</f>
        <v>50</v>
      </c>
      <c r="J611" s="162">
        <f ca="1">IFERROR(__xludf.DUMMYFUNCTION("IMPORTRANGE(""https://docs.google.com/spreadsheets/d/1XL5vhW3sbDhbH9Cz0tuDiY8C3ctxq1tqvaCgkFb8cCA/edit?usp=sharing"",""อำนาจเจริญ!J506"")"),0)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IFERROR(__xludf.DUMMYFUNCTION("IMPORTRANGE(""https://docs.google.com/spreadsheets/d/1XL5vhW3sbDhbH9Cz0tuDiY8C3ctxq1tqvaCgkFb8cCA/edit?usp=sharing"",""อำนาจเจริญ!I507"")"),0)</f>
        <v>0</v>
      </c>
      <c r="J612" s="198">
        <f ca="1">IFERROR(__xludf.DUMMYFUNCTION("IMPORTRANGE(""https://docs.google.com/spreadsheets/d/1XL5vhW3sbDhbH9Cz0tuDiY8C3ctxq1tqvaCgkFb8cCA/edit?usp=sharing"",""อำนาจเจริญ!J507"")"),18)</f>
        <v>18</v>
      </c>
      <c r="K612" s="163">
        <f t="shared" ca="1" si="127"/>
        <v>36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IFERROR(__xludf.DUMMYFUNCTION("IMPORTRANGE(""https://docs.google.com/spreadsheets/d/1XL5vhW3sbDhbH9Cz0tuDiY8C3ctxq1tqvaCgkFb8cCA/edit?usp=sharing"",""อำนาจเจริญ!I508"")"),0)</f>
        <v>0</v>
      </c>
      <c r="J613" s="198">
        <f ca="1">IFERROR(__xludf.DUMMYFUNCTION("IMPORTRANGE(""https://docs.google.com/spreadsheets/d/1XL5vhW3sbDhbH9Cz0tuDiY8C3ctxq1tqvaCgkFb8cCA/edit?usp=sharing"",""อำนาจเจริญ!J508"")"),0)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IFERROR(__xludf.DUMMYFUNCTION("IMPORTRANGE(""https://docs.google.com/spreadsheets/d/1XL5vhW3sbDhbH9Cz0tuDiY8C3ctxq1tqvaCgkFb8cCA/edit?usp=sharing"",""อำนาจเจริญ!I509"")"),0)</f>
        <v>0</v>
      </c>
      <c r="J614" s="198">
        <f ca="1">IFERROR(__xludf.DUMMYFUNCTION("IMPORTRANGE(""https://docs.google.com/spreadsheets/d/1XL5vhW3sbDhbH9Cz0tuDiY8C3ctxq1tqvaCgkFb8cCA/edit?usp=sharing"",""อำนาจเจริญ!J509"")"),18)</f>
        <v>18</v>
      </c>
      <c r="K614" s="163">
        <f t="shared" ca="1" si="127"/>
        <v>36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IFERROR(__xludf.DUMMYFUNCTION("IMPORTRANGE(""https://docs.google.com/spreadsheets/d/1XL5vhW3sbDhbH9Cz0tuDiY8C3ctxq1tqvaCgkFb8cCA/edit?usp=sharing"",""อำนาจเจริญ!I510"")"),0)</f>
        <v>0</v>
      </c>
      <c r="J615" s="198">
        <f ca="1">IFERROR(__xludf.DUMMYFUNCTION("IMPORTRANGE(""https://docs.google.com/spreadsheets/d/1XL5vhW3sbDhbH9Cz0tuDiY8C3ctxq1tqvaCgkFb8cCA/edit?usp=sharing"",""อำนาจเจริญ!J510"")"),0)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IFERROR(__xludf.DUMMYFUNCTION("IMPORTRANGE(""https://docs.google.com/spreadsheets/d/1XL5vhW3sbDhbH9Cz0tuDiY8C3ctxq1tqvaCgkFb8cCA/edit?usp=sharing"",""อำนาจเจริญ!I511"")"),0)</f>
        <v>0</v>
      </c>
      <c r="J616" s="198">
        <f ca="1">IFERROR(__xludf.DUMMYFUNCTION("IMPORTRANGE(""https://docs.google.com/spreadsheets/d/1XL5vhW3sbDhbH9Cz0tuDiY8C3ctxq1tqvaCgkFb8cCA/edit?usp=sharing"",""อำนาจเจริญ!J511"")"),0)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IFERROR(__xludf.DUMMYFUNCTION("IMPORTRANGE(""https://docs.google.com/spreadsheets/d/1XL5vhW3sbDhbH9Cz0tuDiY8C3ctxq1tqvaCgkFb8cCA/edit?usp=sharing"",""อำนาจเจริญ!I512"")"),0)</f>
        <v>0</v>
      </c>
      <c r="J617" s="188">
        <f ca="1">IFERROR(__xludf.DUMMYFUNCTION("IMPORTRANGE(""https://docs.google.com/spreadsheets/d/1XL5vhW3sbDhbH9Cz0tuDiY8C3ctxq1tqvaCgkFb8cCA/edit?usp=sharing"",""อำนาจเจริญ!J512"")"),0)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IFERROR(__xludf.DUMMYFUNCTION("IMPORTRANGE(""https://docs.google.com/spreadsheets/d/1XL5vhW3sbDhbH9Cz0tuDiY8C3ctxq1tqvaCgkFb8cCA/edit?usp=sharing"",""อำนาจเจริญ!I513"")"),0)</f>
        <v>0</v>
      </c>
      <c r="J618" s="189">
        <f ca="1">IFERROR(__xludf.DUMMYFUNCTION("IMPORTRANGE(""https://docs.google.com/spreadsheets/d/1XL5vhW3sbDhbH9Cz0tuDiY8C3ctxq1tqvaCgkFb8cCA/edit?usp=sharing"",""อำนาจเจริญ!J513"")"),0)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IFERROR(__xludf.DUMMYFUNCTION("IMPORTRANGE(""https://docs.google.com/spreadsheets/d/1XL5vhW3sbDhbH9Cz0tuDiY8C3ctxq1tqvaCgkFb8cCA/edit?usp=sharing"",""อำนาจเจริญ!I514"")"),0)</f>
        <v>0</v>
      </c>
      <c r="J619" s="189">
        <f ca="1">IFERROR(__xludf.DUMMYFUNCTION("IMPORTRANGE(""https://docs.google.com/spreadsheets/d/1XL5vhW3sbDhbH9Cz0tuDiY8C3ctxq1tqvaCgkFb8cCA/edit?usp=sharing"",""อำนาจเจริญ!J514"")"),0)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IFERROR(__xludf.DUMMYFUNCTION("IMPORTRANGE(""https://docs.google.com/spreadsheets/d/1XL5vhW3sbDhbH9Cz0tuDiY8C3ctxq1tqvaCgkFb8cCA/edit?usp=sharing"",""อำนาจเจริญ!I515"")"),0)</f>
        <v>0</v>
      </c>
      <c r="J620" s="203">
        <f ca="1">IFERROR(__xludf.DUMMYFUNCTION("IMPORTRANGE(""https://docs.google.com/spreadsheets/d/1XL5vhW3sbDhbH9Cz0tuDiY8C3ctxq1tqvaCgkFb8cCA/edit?usp=sharing"",""อำนาจเจริญ!J515"")"),0)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IFERROR(__xludf.DUMMYFUNCTION("IMPORTRANGE(""https://docs.google.com/spreadsheets/d/1XL5vhW3sbDhbH9Cz0tuDiY8C3ctxq1tqvaCgkFb8cCA/edit?usp=sharing"",""อำนาจเจริญ!I516"")"),0)</f>
        <v>0</v>
      </c>
      <c r="J621" s="203">
        <f ca="1">IFERROR(__xludf.DUMMYFUNCTION("IMPORTRANGE(""https://docs.google.com/spreadsheets/d/1XL5vhW3sbDhbH9Cz0tuDiY8C3ctxq1tqvaCgkFb8cCA/edit?usp=sharing"",""อำนาจเจริญ!J516"")"),0)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IFERROR(__xludf.DUMMYFUNCTION("IMPORTRANGE(""https://docs.google.com/spreadsheets/d/1XL5vhW3sbDhbH9Cz0tuDiY8C3ctxq1tqvaCgkFb8cCA/edit?usp=sharing"",""อำนาจเจริญ!I517"")"),0)</f>
        <v>0</v>
      </c>
      <c r="J622" s="189">
        <f ca="1">IFERROR(__xludf.DUMMYFUNCTION("IMPORTRANGE(""https://docs.google.com/spreadsheets/d/1XL5vhW3sbDhbH9Cz0tuDiY8C3ctxq1tqvaCgkFb8cCA/edit?usp=sharing"",""อำนาจเจริญ!J517"")"),0)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IFERROR(__xludf.DUMMYFUNCTION("IMPORTRANGE(""https://docs.google.com/spreadsheets/d/1XL5vhW3sbDhbH9Cz0tuDiY8C3ctxq1tqvaCgkFb8cCA/edit?usp=sharing"",""อำนาจเจริญ!I518"")"),0)</f>
        <v>0</v>
      </c>
      <c r="J623" s="189">
        <f ca="1">IFERROR(__xludf.DUMMYFUNCTION("IMPORTRANGE(""https://docs.google.com/spreadsheets/d/1XL5vhW3sbDhbH9Cz0tuDiY8C3ctxq1tqvaCgkFb8cCA/edit?usp=sharing"",""อำนาจเจริญ!J518"")"),0)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IFERROR(__xludf.DUMMYFUNCTION("IMPORTRANGE(""https://docs.google.com/spreadsheets/d/1XL5vhW3sbDhbH9Cz0tuDiY8C3ctxq1tqvaCgkFb8cCA/edit?usp=sharing"",""อำนาจเจริญ!I519"")"),0)</f>
        <v>0</v>
      </c>
      <c r="J624" s="188">
        <f ca="1">IFERROR(__xludf.DUMMYFUNCTION("IMPORTRANGE(""https://docs.google.com/spreadsheets/d/1XL5vhW3sbDhbH9Cz0tuDiY8C3ctxq1tqvaCgkFb8cCA/edit?usp=sharing"",""อำนาจเจริญ!J519"")"),0)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IFERROR(__xludf.DUMMYFUNCTION("IMPORTRANGE(""https://docs.google.com/spreadsheets/d/1XL5vhW3sbDhbH9Cz0tuDiY8C3ctxq1tqvaCgkFb8cCA/edit?usp=sharing"",""อำนาจเจริญ!I520"")"),0)</f>
        <v>0</v>
      </c>
      <c r="J625" s="189">
        <f ca="1">IFERROR(__xludf.DUMMYFUNCTION("IMPORTRANGE(""https://docs.google.com/spreadsheets/d/1XL5vhW3sbDhbH9Cz0tuDiY8C3ctxq1tqvaCgkFb8cCA/edit?usp=sharing"",""อำนาจเจริญ!J520"")"),0)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IFERROR(__xludf.DUMMYFUNCTION("IMPORTRANGE(""https://docs.google.com/spreadsheets/d/1XL5vhW3sbDhbH9Cz0tuDiY8C3ctxq1tqvaCgkFb8cCA/edit?usp=sharing"",""อำนาจเจริญ!I521"")"),0)</f>
        <v>0</v>
      </c>
      <c r="J626" s="189">
        <f ca="1">IFERROR(__xludf.DUMMYFUNCTION("IMPORTRANGE(""https://docs.google.com/spreadsheets/d/1XL5vhW3sbDhbH9Cz0tuDiY8C3ctxq1tqvaCgkFb8cCA/edit?usp=sharing"",""อำนาจเจริญ!J521"")"),0)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IFERROR(__xludf.DUMMYFUNCTION("IMPORTRANGE(""https://docs.google.com/spreadsheets/d/1XL5vhW3sbDhbH9Cz0tuDiY8C3ctxq1tqvaCgkFb8cCA/edit?usp=sharing"",""อำนาจเจริญ!I523"")"),4009999.29)</f>
        <v>4009999.29</v>
      </c>
      <c r="J628" s="341">
        <f ca="1">IFERROR(__xludf.DUMMYFUNCTION("IMPORTRANGE(""https://docs.google.com/spreadsheets/d/1XL5vhW3sbDhbH9Cz0tuDiY8C3ctxq1tqvaCgkFb8cCA/edit?usp=sharing"",""อำนาจเจริญ!J523"")"),846207.62)</f>
        <v>846207.62</v>
      </c>
      <c r="K628" s="342">
        <f t="shared" ref="K628:K635" ca="1" si="129">IF(I628&gt;0,J628*100/I628,0)</f>
        <v>21.102438150307005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IFERROR(__xludf.DUMMYFUNCTION("IMPORTRANGE(""https://docs.google.com/spreadsheets/d/1XL5vhW3sbDhbH9Cz0tuDiY8C3ctxq1tqvaCgkFb8cCA/edit?usp=sharing"",""อำนาจเจริญ!I524"")"),351)</f>
        <v>351</v>
      </c>
      <c r="J629" s="341">
        <f ca="1">IFERROR(__xludf.DUMMYFUNCTION("IMPORTRANGE(""https://docs.google.com/spreadsheets/d/1XL5vhW3sbDhbH9Cz0tuDiY8C3ctxq1tqvaCgkFb8cCA/edit?usp=sharing"",""อำนาจเจริญ!J524"")"),71)</f>
        <v>71</v>
      </c>
      <c r="K629" s="342">
        <f t="shared" ca="1" si="129"/>
        <v>20.227920227920229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IFERROR(__xludf.DUMMYFUNCTION("IMPORTRANGE(""https://docs.google.com/spreadsheets/d/1XL5vhW3sbDhbH9Cz0tuDiY8C3ctxq1tqvaCgkFb8cCA/edit?usp=sharing"",""อำนาจเจริญ!I525"")"),3896722.34)</f>
        <v>3896722.34</v>
      </c>
      <c r="J630" s="341">
        <f ca="1">IFERROR(__xludf.DUMMYFUNCTION("IMPORTRANGE(""https://docs.google.com/spreadsheets/d/1XL5vhW3sbDhbH9Cz0tuDiY8C3ctxq1tqvaCgkFb8cCA/edit?usp=sharing"",""อำนาจเจริญ!J525"")"),542925.65)</f>
        <v>542925.65</v>
      </c>
      <c r="K630" s="342">
        <f t="shared" ca="1" si="129"/>
        <v>13.932880062478356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IFERROR(__xludf.DUMMYFUNCTION("IMPORTRANGE(""https://docs.google.com/spreadsheets/d/1XL5vhW3sbDhbH9Cz0tuDiY8C3ctxq1tqvaCgkFb8cCA/edit?usp=sharing"",""อำนาจเจริญ!I526"")"),221)</f>
        <v>221</v>
      </c>
      <c r="J631" s="341">
        <f ca="1">IFERROR(__xludf.DUMMYFUNCTION("IMPORTRANGE(""https://docs.google.com/spreadsheets/d/1XL5vhW3sbDhbH9Cz0tuDiY8C3ctxq1tqvaCgkFb8cCA/edit?usp=sharing"",""อำนาจเจริญ!J526"")"),108)</f>
        <v>108</v>
      </c>
      <c r="K631" s="342">
        <f t="shared" ca="1" si="129"/>
        <v>48.868778280542983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IFERROR(__xludf.DUMMYFUNCTION("IMPORTRANGE(""https://docs.google.com/spreadsheets/d/1XL5vhW3sbDhbH9Cz0tuDiY8C3ctxq1tqvaCgkFb8cCA/edit?usp=sharing"",""อำนาจเจริญ!I527"")"),0)</f>
        <v>0</v>
      </c>
      <c r="J632" s="341">
        <f ca="1">IFERROR(__xludf.DUMMYFUNCTION("IMPORTRANGE(""https://docs.google.com/spreadsheets/d/1XL5vhW3sbDhbH9Cz0tuDiY8C3ctxq1tqvaCgkFb8cCA/edit?usp=sharing"",""อำนาจเจริญ!J527"")"),29016.35)</f>
        <v>29016.35</v>
      </c>
      <c r="K632" s="342">
        <f t="shared" ca="1" si="129"/>
        <v>0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IFERROR(__xludf.DUMMYFUNCTION("IMPORTRANGE(""https://docs.google.com/spreadsheets/d/1XL5vhW3sbDhbH9Cz0tuDiY8C3ctxq1tqvaCgkFb8cCA/edit?usp=sharing"",""อำนาจเจริญ!I528"")"),0)</f>
        <v>0</v>
      </c>
      <c r="J633" s="341">
        <f ca="1">IFERROR(__xludf.DUMMYFUNCTION("IMPORTRANGE(""https://docs.google.com/spreadsheets/d/1XL5vhW3sbDhbH9Cz0tuDiY8C3ctxq1tqvaCgkFb8cCA/edit?usp=sharing"",""อำนาจเจริญ!J528"")"),4)</f>
        <v>4</v>
      </c>
      <c r="K633" s="342">
        <f t="shared" ca="1" si="129"/>
        <v>0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IFERROR(__xludf.DUMMYFUNCTION("IMPORTRANGE(""https://docs.google.com/spreadsheets/d/1XL5vhW3sbDhbH9Cz0tuDiY8C3ctxq1tqvaCgkFb8cCA/edit?usp=sharing"",""อำนาจเจริญ!I529"")"),5000000)</f>
        <v>5000000</v>
      </c>
      <c r="J634" s="341">
        <f ca="1">IFERROR(__xludf.DUMMYFUNCTION("IMPORTRANGE(""https://docs.google.com/spreadsheets/d/1XL5vhW3sbDhbH9Cz0tuDiY8C3ctxq1tqvaCgkFb8cCA/edit?usp=sharing"",""อำนาจเจริญ!J529"")"),5000000)</f>
        <v>5000000</v>
      </c>
      <c r="K634" s="342">
        <f t="shared" ca="1" si="129"/>
        <v>100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IFERROR(__xludf.DUMMYFUNCTION("IMPORTRANGE(""https://docs.google.com/spreadsheets/d/1XL5vhW3sbDhbH9Cz0tuDiY8C3ctxq1tqvaCgkFb8cCA/edit?usp=sharing"",""อำนาจเจริญ!I530"")"),150)</f>
        <v>150</v>
      </c>
      <c r="J635" s="504">
        <f ca="1">IFERROR(__xludf.DUMMYFUNCTION("IMPORTRANGE(""https://docs.google.com/spreadsheets/d/1XL5vhW3sbDhbH9Cz0tuDiY8C3ctxq1tqvaCgkFb8cCA/edit?usp=sharing"",""อำนาจเจริญ!J530"")"),155)</f>
        <v>155</v>
      </c>
      <c r="K635" s="486">
        <f t="shared" ca="1" si="129"/>
        <v>103.33333333333333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49" t="s">
        <v>237</v>
      </c>
      <c r="F636" s="549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12" sqref="J12"/>
      <selection pane="bottomLeft" activeCell="G557" sqref="G557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5.36328125" bestFit="1" customWidth="1"/>
    <col min="10" max="10" width="13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56" t="s">
        <v>0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</row>
    <row r="2" spans="1:16" ht="18" customHeight="1" x14ac:dyDescent="0.35">
      <c r="A2" s="556" t="s">
        <v>238</v>
      </c>
      <c r="B2" s="556"/>
      <c r="C2" s="556"/>
      <c r="D2" s="556"/>
      <c r="E2" s="556"/>
      <c r="F2" s="556"/>
      <c r="G2" s="556"/>
      <c r="H2" s="556"/>
      <c r="I2" s="556"/>
      <c r="J2" s="556"/>
      <c r="K2" s="556"/>
      <c r="L2" s="556"/>
      <c r="M2" s="556"/>
      <c r="N2" s="556"/>
      <c r="O2" s="556"/>
      <c r="P2" s="556"/>
    </row>
    <row r="3" spans="1:16" ht="18" customHeight="1" x14ac:dyDescent="0.35">
      <c r="A3" s="556" t="s">
        <v>278</v>
      </c>
      <c r="B3" s="556"/>
      <c r="C3" s="556"/>
      <c r="D3" s="556"/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6"/>
      <c r="P3" s="55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64" t="s">
        <v>2</v>
      </c>
      <c r="B5" s="565"/>
      <c r="C5" s="565"/>
      <c r="D5" s="565"/>
      <c r="E5" s="565"/>
      <c r="F5" s="565"/>
      <c r="G5" s="566"/>
      <c r="H5" s="557" t="s">
        <v>3</v>
      </c>
      <c r="I5" s="559" t="s">
        <v>4</v>
      </c>
      <c r="J5" s="560"/>
      <c r="K5" s="561"/>
      <c r="L5" s="562" t="s">
        <v>5</v>
      </c>
      <c r="M5" s="561"/>
      <c r="N5" s="563" t="s">
        <v>6</v>
      </c>
      <c r="O5" s="560"/>
      <c r="P5" s="561"/>
    </row>
    <row r="6" spans="1:16" ht="21.75" customHeight="1" x14ac:dyDescent="0.35">
      <c r="A6" s="567"/>
      <c r="B6" s="568"/>
      <c r="C6" s="568"/>
      <c r="D6" s="568"/>
      <c r="E6" s="568"/>
      <c r="F6" s="568"/>
      <c r="G6" s="569"/>
      <c r="H6" s="55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0" t="s">
        <v>15</v>
      </c>
      <c r="B7" s="560"/>
      <c r="C7" s="560"/>
      <c r="D7" s="560"/>
      <c r="E7" s="560"/>
      <c r="F7" s="560"/>
      <c r="G7" s="56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1" t="s">
        <v>17</v>
      </c>
      <c r="E8" s="555"/>
      <c r="F8" s="555"/>
      <c r="G8" s="555"/>
      <c r="H8" s="20" t="s">
        <v>12</v>
      </c>
      <c r="I8" s="21"/>
      <c r="J8" s="21"/>
      <c r="K8" s="22"/>
      <c r="L8" s="23">
        <f t="shared" ref="L8:N8" ca="1" si="0">L9+L10</f>
        <v>5906155</v>
      </c>
      <c r="M8" s="23">
        <f t="shared" ca="1" si="0"/>
        <v>2646562</v>
      </c>
      <c r="N8" s="23">
        <f t="shared" ca="1" si="0"/>
        <v>2552520.41</v>
      </c>
      <c r="O8" s="22">
        <f t="shared" ref="O8:O16" ca="1" si="1">IF(L8&gt;0,N8*100/L8,0)</f>
        <v>43.217971929283941</v>
      </c>
      <c r="P8" s="22">
        <f t="shared" ref="P8:P16" ca="1" si="2">IF(M8&gt;0,N8*100/M8,0)</f>
        <v>96.446650786945483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5906155</v>
      </c>
      <c r="M10" s="30">
        <f t="shared" ca="1" si="4"/>
        <v>2646562</v>
      </c>
      <c r="N10" s="30">
        <f t="shared" ca="1" si="4"/>
        <v>2552520.41</v>
      </c>
      <c r="O10" s="29">
        <f t="shared" ca="1" si="1"/>
        <v>43.217971929283941</v>
      </c>
      <c r="P10" s="29">
        <f t="shared" ca="1" si="2"/>
        <v>96.446650786945483</v>
      </c>
    </row>
    <row r="11" spans="1:16" ht="21.75" customHeight="1" x14ac:dyDescent="0.45">
      <c r="A11" s="31"/>
      <c r="B11" s="32"/>
      <c r="C11" s="33" t="s">
        <v>16</v>
      </c>
      <c r="D11" s="572" t="s">
        <v>20</v>
      </c>
      <c r="E11" s="553"/>
      <c r="F11" s="55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5868355</v>
      </c>
      <c r="M12" s="38">
        <f t="shared" ca="1" si="6"/>
        <v>2608762</v>
      </c>
      <c r="N12" s="38">
        <f t="shared" ca="1" si="6"/>
        <v>2514720.41</v>
      </c>
      <c r="O12" s="38">
        <f t="shared" ca="1" si="1"/>
        <v>42.852220255932032</v>
      </c>
      <c r="P12" s="38">
        <f t="shared" ca="1" si="2"/>
        <v>96.39516406632724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2233000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3635355</v>
      </c>
      <c r="M14" s="38">
        <f t="shared" si="8"/>
        <v>0</v>
      </c>
      <c r="N14" s="38">
        <f t="shared" ca="1" si="8"/>
        <v>710415</v>
      </c>
      <c r="O14" s="38">
        <f t="shared" ca="1" si="1"/>
        <v>19.541832915905051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2" t="s">
        <v>23</v>
      </c>
      <c r="E15" s="55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37800</v>
      </c>
      <c r="M16" s="38">
        <f t="shared" ca="1" si="10"/>
        <v>37800</v>
      </c>
      <c r="N16" s="38">
        <f t="shared" ca="1" si="10"/>
        <v>37800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70" t="s">
        <v>24</v>
      </c>
      <c r="B17" s="560"/>
      <c r="C17" s="560"/>
      <c r="D17" s="560"/>
      <c r="E17" s="560"/>
      <c r="F17" s="560"/>
      <c r="G17" s="56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1" t="s">
        <v>17</v>
      </c>
      <c r="E18" s="555"/>
      <c r="F18" s="555"/>
      <c r="G18" s="555"/>
      <c r="H18" s="20" t="s">
        <v>12</v>
      </c>
      <c r="I18" s="21"/>
      <c r="J18" s="21"/>
      <c r="K18" s="22"/>
      <c r="L18" s="23">
        <f t="shared" ref="L18:N18" ca="1" si="11">L19+L20</f>
        <v>3461615</v>
      </c>
      <c r="M18" s="23">
        <f t="shared" ca="1" si="11"/>
        <v>2646562</v>
      </c>
      <c r="N18" s="23">
        <f t="shared" ca="1" si="11"/>
        <v>1842105.4100000001</v>
      </c>
      <c r="O18" s="22">
        <f t="shared" ref="O18:O20" ca="1" si="12">IF(L18&gt;0,N18*100/L18,0)</f>
        <v>53.2152018638699</v>
      </c>
      <c r="P18" s="22">
        <f t="shared" ref="P18:P26" ca="1" si="13">IF(M18&gt;0,N18*100/M18,0)</f>
        <v>69.603712665714994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3461615</v>
      </c>
      <c r="M20" s="30">
        <f t="shared" ca="1" si="15"/>
        <v>2646562</v>
      </c>
      <c r="N20" s="30">
        <f t="shared" ca="1" si="15"/>
        <v>1842105.4100000001</v>
      </c>
      <c r="O20" s="29">
        <f t="shared" ca="1" si="12"/>
        <v>53.2152018638699</v>
      </c>
      <c r="P20" s="29">
        <f t="shared" ca="1" si="13"/>
        <v>69.603712665714994</v>
      </c>
    </row>
    <row r="21" spans="1:16" ht="21.75" customHeight="1" x14ac:dyDescent="0.45">
      <c r="A21" s="31"/>
      <c r="B21" s="32"/>
      <c r="C21" s="33" t="s">
        <v>16</v>
      </c>
      <c r="D21" s="572" t="s">
        <v>20</v>
      </c>
      <c r="E21" s="553"/>
      <c r="F21" s="55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3423815</v>
      </c>
      <c r="M22" s="41">
        <f t="shared" ca="1" si="18"/>
        <v>2608762</v>
      </c>
      <c r="N22" s="38">
        <f t="shared" ca="1" si="18"/>
        <v>1804305.4100000001</v>
      </c>
      <c r="O22" s="38">
        <f t="shared" ca="1" si="17"/>
        <v>52.698682901967544</v>
      </c>
      <c r="P22" s="38">
        <f t="shared" ca="1" si="13"/>
        <v>69.163281663869682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2233000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1190815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2" t="s">
        <v>23</v>
      </c>
      <c r="E25" s="55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37800</v>
      </c>
      <c r="M26" s="49">
        <f t="shared" ca="1" si="22"/>
        <v>37800</v>
      </c>
      <c r="N26" s="49">
        <f t="shared" ca="1" si="22"/>
        <v>37800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70" t="s">
        <v>25</v>
      </c>
      <c r="B27" s="560"/>
      <c r="C27" s="560"/>
      <c r="D27" s="560"/>
      <c r="E27" s="560"/>
      <c r="F27" s="560"/>
      <c r="G27" s="56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1" t="s">
        <v>17</v>
      </c>
      <c r="E28" s="555"/>
      <c r="F28" s="555"/>
      <c r="G28" s="555"/>
      <c r="H28" s="20" t="s">
        <v>12</v>
      </c>
      <c r="I28" s="21"/>
      <c r="J28" s="21"/>
      <c r="K28" s="22"/>
      <c r="L28" s="23">
        <f t="shared" ref="L28:N28" ca="1" si="23">L29+L30</f>
        <v>2444540</v>
      </c>
      <c r="M28" s="23">
        <f t="shared" si="23"/>
        <v>0</v>
      </c>
      <c r="N28" s="23">
        <f t="shared" ca="1" si="23"/>
        <v>710415</v>
      </c>
      <c r="O28" s="22">
        <f t="shared" ref="O28:O30" ca="1" si="24">IF(L28&gt;0,N28*100/L28,0)</f>
        <v>29.061295785710193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2444540</v>
      </c>
      <c r="M30" s="30">
        <f t="shared" si="27"/>
        <v>0</v>
      </c>
      <c r="N30" s="30">
        <f t="shared" ca="1" si="27"/>
        <v>710415</v>
      </c>
      <c r="O30" s="29">
        <f t="shared" ca="1" si="24"/>
        <v>29.061295785710193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2" t="s">
        <v>20</v>
      </c>
      <c r="E31" s="553"/>
      <c r="F31" s="55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2444540</v>
      </c>
      <c r="M32" s="38">
        <f t="shared" si="30"/>
        <v>0</v>
      </c>
      <c r="N32" s="38">
        <f t="shared" ca="1" si="30"/>
        <v>710415</v>
      </c>
      <c r="O32" s="38">
        <f t="shared" ca="1" si="29"/>
        <v>29.061295785710193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2444540</v>
      </c>
      <c r="M34" s="38">
        <f t="shared" si="32"/>
        <v>0</v>
      </c>
      <c r="N34" s="38">
        <f t="shared" ca="1" si="32"/>
        <v>710415</v>
      </c>
      <c r="O34" s="38">
        <f t="shared" ca="1" si="29"/>
        <v>29.061295785710193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2" t="s">
        <v>23</v>
      </c>
      <c r="E35" s="55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3461615</v>
      </c>
      <c r="M37" s="54">
        <f t="shared" ca="1" si="33"/>
        <v>2646562</v>
      </c>
      <c r="N37" s="54">
        <f t="shared" ca="1" si="33"/>
        <v>1842105.4100000001</v>
      </c>
      <c r="O37" s="55">
        <f t="shared" ca="1" si="29"/>
        <v>53.2152018638699</v>
      </c>
      <c r="P37" s="55">
        <f t="shared" ca="1" si="25"/>
        <v>69.603712665714994</v>
      </c>
    </row>
    <row r="38" spans="1:16" ht="21.75" customHeight="1" x14ac:dyDescent="0.45">
      <c r="A38" s="573" t="s">
        <v>27</v>
      </c>
      <c r="B38" s="560"/>
      <c r="C38" s="560"/>
      <c r="D38" s="560"/>
      <c r="E38" s="560"/>
      <c r="F38" s="560"/>
      <c r="G38" s="56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74" t="s">
        <v>28</v>
      </c>
      <c r="C39" s="555"/>
      <c r="D39" s="555"/>
      <c r="E39" s="555"/>
      <c r="F39" s="555"/>
      <c r="G39" s="55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75" t="s">
        <v>17</v>
      </c>
      <c r="E41" s="553"/>
      <c r="F41" s="553"/>
      <c r="G41" s="553"/>
      <c r="H41" s="75" t="s">
        <v>12</v>
      </c>
      <c r="I41" s="76"/>
      <c r="J41" s="76"/>
      <c r="K41" s="77"/>
      <c r="L41" s="78">
        <f t="shared" ref="L41:N41" ca="1" si="34">L42+L43</f>
        <v>757600</v>
      </c>
      <c r="M41" s="78">
        <f t="shared" ca="1" si="34"/>
        <v>568200</v>
      </c>
      <c r="N41" s="78">
        <f t="shared" ca="1" si="34"/>
        <v>454437.27</v>
      </c>
      <c r="O41" s="77">
        <f t="shared" ref="O41:O43" ca="1" si="35">IF(L41&gt;0,N41*100/L41,0)</f>
        <v>59.983800158394928</v>
      </c>
      <c r="P41" s="77">
        <f t="shared" ref="P41:P43" ca="1" si="36">IF(M41&gt;0,N41*100/M41,0)</f>
        <v>79.978400211193247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757600</v>
      </c>
      <c r="M43" s="78">
        <f t="shared" ca="1" si="38"/>
        <v>568200</v>
      </c>
      <c r="N43" s="78">
        <f t="shared" ca="1" si="38"/>
        <v>454437.27</v>
      </c>
      <c r="O43" s="77">
        <f t="shared" ca="1" si="35"/>
        <v>59.983800158394928</v>
      </c>
      <c r="P43" s="77">
        <f t="shared" ca="1" si="36"/>
        <v>79.978400211193247</v>
      </c>
    </row>
    <row r="44" spans="1:16" ht="21.75" customHeight="1" x14ac:dyDescent="0.45">
      <c r="A44" s="79"/>
      <c r="B44" s="80"/>
      <c r="C44" s="81" t="s">
        <v>16</v>
      </c>
      <c r="D44" s="552" t="s">
        <v>20</v>
      </c>
      <c r="E44" s="553"/>
      <c r="F44" s="55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757600</v>
      </c>
      <c r="M45" s="49">
        <f ca="1">IFERROR(__xludf.DUMMYFUNCTION("IMPORTRANGE(""https://docs.google.com/spreadsheets/d/1Yj_ptqi66GCucihVvJfMjLAmec39IyEx_6qawtMGysU/edit?usp=sharing"",""สบก!Q38"")"),568200)</f>
        <v>568200</v>
      </c>
      <c r="N45" s="49">
        <f ca="1">IFERROR(__xludf.DUMMYFUNCTION("IMPORTRANGE(""https://docs.google.com/spreadsheets/d/1Yj_ptqi66GCucihVvJfMjLAmec39IyEx_6qawtMGysU/edit?usp=sharing"",""สบก!R38"")"),454437.27)</f>
        <v>454437.27</v>
      </c>
      <c r="O45" s="38">
        <f ca="1">IF(L45&gt;0,N45*100/L45,0)</f>
        <v>59.983800158394928</v>
      </c>
      <c r="P45" s="38">
        <f ca="1">IF(M45&gt;0,N45*100/M45,0)</f>
        <v>79.978400211193247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IFERROR(__xludf.DUMMYFUNCTION("IMPORTRANGE(""https://docs.google.com/spreadsheets/d/1Yj_ptqi66GCucihVvJfMjLAmec39IyEx_6qawtMGysU/edit?usp=sharing"",""สบก!M38"")"),757600)</f>
        <v>757600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IFERROR(__xludf.DUMMYFUNCTION("IMPORTRANGE(""https://docs.google.com/spreadsheets/d/1Yj_ptqi66GCucihVvJfMjLAmec39IyEx_6qawtMGysU/edit?usp=sharing"",""สบก!N38"")"),0)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52" t="s">
        <v>23</v>
      </c>
      <c r="E48" s="55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IFERROR(__xludf.DUMMYFUNCTION("IMPORTRANGE(""https://docs.google.com/spreadsheets/d/1Yj_ptqi66GCucihVvJfMjLAmec39IyEx_6qawtMGysU/edit?usp=sharing"",""สบก!O38"")"),0)</f>
        <v>0</v>
      </c>
      <c r="M49" s="49"/>
      <c r="N49" s="49">
        <f ca="1">IFERROR(__xludf.DUMMYFUNCTION("IMPORTRANGE(""https://docs.google.com/spreadsheets/d/1Yj_ptqi66GCucihVvJfMjLAmec39IyEx_6qawtMGysU/edit?usp=sharing"",""สบก!S38"")"),0)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76" t="s">
        <v>32</v>
      </c>
      <c r="C52" s="553"/>
      <c r="D52" s="553"/>
      <c r="E52" s="553"/>
      <c r="F52" s="553"/>
      <c r="G52" s="55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77" t="s">
        <v>17</v>
      </c>
      <c r="E53" s="553"/>
      <c r="F53" s="553"/>
      <c r="G53" s="553"/>
      <c r="H53" s="118" t="s">
        <v>12</v>
      </c>
      <c r="I53" s="119"/>
      <c r="J53" s="119"/>
      <c r="K53" s="120"/>
      <c r="L53" s="121">
        <f t="shared" ref="L53:N53" ca="1" si="39">L54+L55</f>
        <v>600000</v>
      </c>
      <c r="M53" s="121">
        <f t="shared" ca="1" si="39"/>
        <v>472002</v>
      </c>
      <c r="N53" s="121">
        <f t="shared" ca="1" si="39"/>
        <v>462765</v>
      </c>
      <c r="O53" s="120">
        <f t="shared" ref="O53:O55" ca="1" si="40">IF(L53&gt;0,N53*100/L53,0)</f>
        <v>77.127499999999998</v>
      </c>
      <c r="P53" s="120">
        <f t="shared" ref="P53:P55" ca="1" si="41">IF(M53&gt;0,N53*100/M53,0)</f>
        <v>98.043016766878111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600000</v>
      </c>
      <c r="M55" s="121">
        <f t="shared" ca="1" si="43"/>
        <v>472002</v>
      </c>
      <c r="N55" s="121">
        <f t="shared" ca="1" si="43"/>
        <v>462765</v>
      </c>
      <c r="O55" s="120">
        <f t="shared" ca="1" si="40"/>
        <v>77.127499999999998</v>
      </c>
      <c r="P55" s="120">
        <f t="shared" ca="1" si="41"/>
        <v>98.043016766878111</v>
      </c>
    </row>
    <row r="56" spans="1:16" ht="21.75" customHeight="1" x14ac:dyDescent="0.45">
      <c r="A56" s="79"/>
      <c r="B56" s="80"/>
      <c r="C56" s="81" t="s">
        <v>16</v>
      </c>
      <c r="D56" s="552" t="s">
        <v>20</v>
      </c>
      <c r="E56" s="553"/>
      <c r="F56" s="55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600000</v>
      </c>
      <c r="M57" s="49">
        <f ca="1">IFERROR(__xludf.DUMMYFUNCTION("IMPORTRANGE(""https://docs.google.com/spreadsheets/d/1Yj_ptqi66GCucihVvJfMjLAmec39IyEx_6qawtMGysU/edit?usp=sharing"",""สบก!Z38"")"),472002)</f>
        <v>472002</v>
      </c>
      <c r="N57" s="49">
        <f ca="1">IFERROR(__xludf.DUMMYFUNCTION("IMPORTRANGE(""https://docs.google.com/spreadsheets/d/1Yj_ptqi66GCucihVvJfMjLAmec39IyEx_6qawtMGysU/edit?usp=sharing"",""สบก!AA38"")"),462765)</f>
        <v>462765</v>
      </c>
      <c r="O57" s="38">
        <f ca="1">IF(L57&gt;0,N57*100/L57,0)</f>
        <v>77.127499999999998</v>
      </c>
      <c r="P57" s="38">
        <f ca="1">IF(M57&gt;0,N57*100/M57,0)</f>
        <v>98.043016766878111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IFERROR(__xludf.DUMMYFUNCTION("IMPORTRANGE(""https://docs.google.com/spreadsheets/d/1Yj_ptqi66GCucihVvJfMjLAmec39IyEx_6qawtMGysU/edit?usp=sharing"",""สบก!V38"")"),600000)</f>
        <v>600000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IFERROR(__xludf.DUMMYFUNCTION("IMPORTRANGE(""https://docs.google.com/spreadsheets/d/1Yj_ptqi66GCucihVvJfMjLAmec39IyEx_6qawtMGysU/edit?usp=sharing"",""สบก!W38"")"),0)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52" t="s">
        <v>23</v>
      </c>
      <c r="E60" s="55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IFERROR(__xludf.DUMMYFUNCTION("IMPORTRANGE(""https://docs.google.com/spreadsheets/d/1Yj_ptqi66GCucihVvJfMjLAmec39IyEx_6qawtMGysU/edit?usp=sharing"",""สบก!X38"")"),0)</f>
        <v>0</v>
      </c>
      <c r="M61" s="49"/>
      <c r="N61" s="49">
        <f ca="1">IFERROR(__xludf.DUMMYFUNCTION("IMPORTRANGE(""https://docs.google.com/spreadsheets/d/1Yj_ptqi66GCucihVvJfMjLAmec39IyEx_6qawtMGysU/edit?usp=sharing"",""สบก!AB38"")"),0)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IFERROR(__xludf.DUMMYFUNCTION("IMPORTRANGE(""https://docs.google.com/spreadsheets/d/1XL5vhW3sbDhbH9Cz0tuDiY8C3ctxq1tqvaCgkFb8cCA/edit?usp=sharing"",""กาฬสินธุ์!I9"")"),0)</f>
        <v>0</v>
      </c>
      <c r="J64" s="142">
        <f ca="1">IFERROR(__xludf.DUMMYFUNCTION("IMPORTRANGE(""https://docs.google.com/spreadsheets/d/1XL5vhW3sbDhbH9Cz0tuDiY8C3ctxq1tqvaCgkFb8cCA/edit?usp=sharing"",""กาฬสินธุ์!J9"")"),0)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IFERROR(__xludf.DUMMYFUNCTION("IMPORTRANGE(""https://docs.google.com/spreadsheets/d/1XL5vhW3sbDhbH9Cz0tuDiY8C3ctxq1tqvaCgkFb8cCA/edit?usp=sharing"",""กาฬสินธุ์!I10"")"),0)</f>
        <v>0</v>
      </c>
      <c r="J65" s="142">
        <f ca="1">IFERROR(__xludf.DUMMYFUNCTION("IMPORTRANGE(""https://docs.google.com/spreadsheets/d/1XL5vhW3sbDhbH9Cz0tuDiY8C3ctxq1tqvaCgkFb8cCA/edit?usp=sharing"",""กาฬสินธุ์!J10"")"),0)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54" t="s">
        <v>17</v>
      </c>
      <c r="E66" s="555"/>
      <c r="F66" s="555"/>
      <c r="G66" s="55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52" t="s">
        <v>20</v>
      </c>
      <c r="E69" s="553"/>
      <c r="F69" s="55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IFERROR(__xludf.DUMMYFUNCTION("IMPORTRANGE(""https://docs.google.com/spreadsheets/d/1Yj_ptqi66GCucihVvJfMjLAmec39IyEx_6qawtMGysU/edit?usp=sharing"",""สบก!AI38"")"),0)</f>
        <v>0</v>
      </c>
      <c r="N70" s="169">
        <f ca="1">IFERROR(__xludf.DUMMYFUNCTION("IMPORTRANGE(""https://docs.google.com/spreadsheets/d/1Yj_ptqi66GCucihVvJfMjLAmec39IyEx_6qawtMGysU/edit?usp=sharing"",""สบก!AJ38"")"),0)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IFERROR(__xludf.DUMMYFUNCTION("IMPORTRANGE(""https://docs.google.com/spreadsheets/d/1Yj_ptqi66GCucihVvJfMjLAmec39IyEx_6qawtMGysU/edit?usp=sharing"",""สบก!AE38"")"),0)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IFERROR(__xludf.DUMMYFUNCTION("IMPORTRANGE(""https://docs.google.com/spreadsheets/d/1Yj_ptqi66GCucihVvJfMjLAmec39IyEx_6qawtMGysU/edit?usp=sharing"",""สบก!AF38"")"),0)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52" t="s">
        <v>23</v>
      </c>
      <c r="E73" s="55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IFERROR(__xludf.DUMMYFUNCTION("IMPORTRANGE(""https://docs.google.com/spreadsheets/d/1Yj_ptqi66GCucihVvJfMjLAmec39IyEx_6qawtMGysU/edit?usp=sharing"",""สบก!AG38"")"),0)</f>
        <v>0</v>
      </c>
      <c r="M74" s="49"/>
      <c r="N74" s="49">
        <f ca="1">IFERROR(__xludf.DUMMYFUNCTION("IMPORTRANGE(""https://docs.google.com/spreadsheets/d/1Yj_ptqi66GCucihVvJfMjLAmec39IyEx_6qawtMGysU/edit?usp=sharing"",""สบก!AK38"")"),0)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IFERROR(__xludf.DUMMYFUNCTION("IMPORTRANGE(""https://docs.google.com/spreadsheets/d/1XL5vhW3sbDhbH9Cz0tuDiY8C3ctxq1tqvaCgkFb8cCA/edit?usp=sharing"",""กาฬสินธุ์!J16"")"),0)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IFERROR(__xludf.DUMMYFUNCTION("IMPORTRANGE(""https://docs.google.com/spreadsheets/d/1XL5vhW3sbDhbH9Cz0tuDiY8C3ctxq1tqvaCgkFb8cCA/edit?usp=sharing"",""กาฬสินธุ์!J17"")"),0)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IFERROR(__xludf.DUMMYFUNCTION("IMPORTRANGE(""https://docs.google.com/spreadsheets/d/1XL5vhW3sbDhbH9Cz0tuDiY8C3ctxq1tqvaCgkFb8cCA/edit?usp=sharing"",""กาฬสินธุ์!J18"")"),0)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IFERROR(__xludf.DUMMYFUNCTION("IMPORTRANGE(""https://docs.google.com/spreadsheets/d/1XL5vhW3sbDhbH9Cz0tuDiY8C3ctxq1tqvaCgkFb8cCA/edit?usp=sharing"",""กาฬสินธุ์!J19"")"),0)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IFERROR(__xludf.DUMMYFUNCTION("IMPORTRANGE(""https://docs.google.com/spreadsheets/d/1XL5vhW3sbDhbH9Cz0tuDiY8C3ctxq1tqvaCgkFb8cCA/edit?usp=sharing"",""กาฬสินธุ์!I20"")"),0)</f>
        <v>0</v>
      </c>
      <c r="J80" s="201">
        <f ca="1">IFERROR(__xludf.DUMMYFUNCTION("IMPORTRANGE(""https://docs.google.com/spreadsheets/d/1XL5vhW3sbDhbH9Cz0tuDiY8C3ctxq1tqvaCgkFb8cCA/edit?usp=sharing"",""กาฬสินธุ์!J20"")"),0)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IFERROR(__xludf.DUMMYFUNCTION("IMPORTRANGE(""https://docs.google.com/spreadsheets/d/1XL5vhW3sbDhbH9Cz0tuDiY8C3ctxq1tqvaCgkFb8cCA/edit?usp=sharing"",""กาฬสินธุ์!I21"")"),0)</f>
        <v>0</v>
      </c>
      <c r="J81" s="201">
        <f ca="1">IFERROR(__xludf.DUMMYFUNCTION("IMPORTRANGE(""https://docs.google.com/spreadsheets/d/1XL5vhW3sbDhbH9Cz0tuDiY8C3ctxq1tqvaCgkFb8cCA/edit?usp=sharing"",""กาฬสินธุ์!J21"")"),0)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IFERROR(__xludf.DUMMYFUNCTION("IMPORTRANGE(""https://docs.google.com/spreadsheets/d/1XL5vhW3sbDhbH9Cz0tuDiY8C3ctxq1tqvaCgkFb8cCA/edit?usp=sharing"",""กาฬสินธุ์!I22"")"),0)</f>
        <v>0</v>
      </c>
      <c r="J82" s="204">
        <f ca="1">IFERROR(__xludf.DUMMYFUNCTION("IMPORTRANGE(""https://docs.google.com/spreadsheets/d/1XL5vhW3sbDhbH9Cz0tuDiY8C3ctxq1tqvaCgkFb8cCA/edit?usp=sharing"",""กาฬสินธุ์!J22"")"),0)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IFERROR(__xludf.DUMMYFUNCTION("IMPORTRANGE(""https://docs.google.com/spreadsheets/d/1XL5vhW3sbDhbH9Cz0tuDiY8C3ctxq1tqvaCgkFb8cCA/edit?usp=sharing"",""กาฬสินธุ์!I23"")"),0)</f>
        <v>0</v>
      </c>
      <c r="J83" s="204">
        <f ca="1">IFERROR(__xludf.DUMMYFUNCTION("IMPORTRANGE(""https://docs.google.com/spreadsheets/d/1XL5vhW3sbDhbH9Cz0tuDiY8C3ctxq1tqvaCgkFb8cCA/edit?usp=sharing"",""กาฬสินธุ์!J23"")"),0)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IFERROR(__xludf.DUMMYFUNCTION("IMPORTRANGE(""https://docs.google.com/spreadsheets/d/1XL5vhW3sbDhbH9Cz0tuDiY8C3ctxq1tqvaCgkFb8cCA/edit?usp=sharing"",""กาฬสินธุ์!I24"")"),0)</f>
        <v>0</v>
      </c>
      <c r="J84" s="189">
        <f ca="1">IFERROR(__xludf.DUMMYFUNCTION("IMPORTRANGE(""https://docs.google.com/spreadsheets/d/1XL5vhW3sbDhbH9Cz0tuDiY8C3ctxq1tqvaCgkFb8cCA/edit?usp=sharing"",""กาฬสินธุ์!J24"")"),0)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IFERROR(__xludf.DUMMYFUNCTION("IMPORTRANGE(""https://docs.google.com/spreadsheets/d/1XL5vhW3sbDhbH9Cz0tuDiY8C3ctxq1tqvaCgkFb8cCA/edit?usp=sharing"",""กาฬสินธุ์!I25"")"),0)</f>
        <v>0</v>
      </c>
      <c r="J85" s="189">
        <f ca="1">IFERROR(__xludf.DUMMYFUNCTION("IMPORTRANGE(""https://docs.google.com/spreadsheets/d/1XL5vhW3sbDhbH9Cz0tuDiY8C3ctxq1tqvaCgkFb8cCA/edit?usp=sharing"",""กาฬสินธุ์!J25"")"),0)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IFERROR(__xludf.DUMMYFUNCTION("IMPORTRANGE(""https://docs.google.com/spreadsheets/d/1XL5vhW3sbDhbH9Cz0tuDiY8C3ctxq1tqvaCgkFb8cCA/edit?usp=sharing"",""กาฬสินธุ์!I26"")"),0)</f>
        <v>0</v>
      </c>
      <c r="J86" s="204">
        <f ca="1">IFERROR(__xludf.DUMMYFUNCTION("IMPORTRANGE(""https://docs.google.com/spreadsheets/d/1XL5vhW3sbDhbH9Cz0tuDiY8C3ctxq1tqvaCgkFb8cCA/edit?usp=sharing"",""กาฬสินธุ์!J26"")"),0)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IFERROR(__xludf.DUMMYFUNCTION("IMPORTRANGE(""https://docs.google.com/spreadsheets/d/1XL5vhW3sbDhbH9Cz0tuDiY8C3ctxq1tqvaCgkFb8cCA/edit?usp=sharing"",""กาฬสินธุ์!I27"")"),0)</f>
        <v>0</v>
      </c>
      <c r="J87" s="204">
        <f ca="1">IFERROR(__xludf.DUMMYFUNCTION("IMPORTRANGE(""https://docs.google.com/spreadsheets/d/1XL5vhW3sbDhbH9Cz0tuDiY8C3ctxq1tqvaCgkFb8cCA/edit?usp=sharing"",""กาฬสินธุ์!J27"")"),0)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IFERROR(__xludf.DUMMYFUNCTION("IMPORTRANGE(""https://docs.google.com/spreadsheets/d/1XL5vhW3sbDhbH9Cz0tuDiY8C3ctxq1tqvaCgkFb8cCA/edit?usp=sharing"",""กาฬสินธุ์!I28"")"),0)</f>
        <v>0</v>
      </c>
      <c r="J88" s="204">
        <f ca="1">IFERROR(__xludf.DUMMYFUNCTION("IMPORTRANGE(""https://docs.google.com/spreadsheets/d/1XL5vhW3sbDhbH9Cz0tuDiY8C3ctxq1tqvaCgkFb8cCA/edit?usp=sharing"",""กาฬสินธุ์!J28"")"),0)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IFERROR(__xludf.DUMMYFUNCTION("IMPORTRANGE(""https://docs.google.com/spreadsheets/d/1XL5vhW3sbDhbH9Cz0tuDiY8C3ctxq1tqvaCgkFb8cCA/edit?usp=sharing"",""กาฬสินธุ์!J29"")"),0)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IFERROR(__xludf.DUMMYFUNCTION("IMPORTRANGE(""https://docs.google.com/spreadsheets/d/1XL5vhW3sbDhbH9Cz0tuDiY8C3ctxq1tqvaCgkFb8cCA/edit?usp=sharing"",""กาฬสินธุ์!J30"")"),0)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IFERROR(__xludf.DUMMYFUNCTION("IMPORTRANGE(""https://docs.google.com/spreadsheets/d/1XL5vhW3sbDhbH9Cz0tuDiY8C3ctxq1tqvaCgkFb8cCA/edit?usp=sharing"",""กาฬสินธุ์!I32"")"),0)</f>
        <v>0</v>
      </c>
      <c r="J92" s="142">
        <f ca="1">IFERROR(__xludf.DUMMYFUNCTION("IMPORTRANGE(""https://docs.google.com/spreadsheets/d/1XL5vhW3sbDhbH9Cz0tuDiY8C3ctxq1tqvaCgkFb8cCA/edit?usp=sharing"",""กาฬสินธุ์!J32"")"),0)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IFERROR(__xludf.DUMMYFUNCTION("IMPORTRANGE(""https://docs.google.com/spreadsheets/d/1XL5vhW3sbDhbH9Cz0tuDiY8C3ctxq1tqvaCgkFb8cCA/edit?usp=sharing"",""กาฬสินธุ์!I33"")"),0)</f>
        <v>0</v>
      </c>
      <c r="J93" s="142">
        <f ca="1">IFERROR(__xludf.DUMMYFUNCTION("IMPORTRANGE(""https://docs.google.com/spreadsheets/d/1XL5vhW3sbDhbH9Cz0tuDiY8C3ctxq1tqvaCgkFb8cCA/edit?usp=sharing"",""กาฬสินธุ์!J33"")"),0)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54" t="s">
        <v>17</v>
      </c>
      <c r="E94" s="555"/>
      <c r="F94" s="555"/>
      <c r="G94" s="55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52" t="s">
        <v>20</v>
      </c>
      <c r="E97" s="553"/>
      <c r="F97" s="55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IFERROR(__xludf.DUMMYFUNCTION("IMPORTRANGE(""https://docs.google.com/spreadsheets/d/1Yj_ptqi66GCucihVvJfMjLAmec39IyEx_6qawtMGysU/edit?usp=sharing"",""สบก!AR38"")"),0)</f>
        <v>0</v>
      </c>
      <c r="N98" s="169">
        <f ca="1">IFERROR(__xludf.DUMMYFUNCTION("IMPORTRANGE(""https://docs.google.com/spreadsheets/d/1Yj_ptqi66GCucihVvJfMjLAmec39IyEx_6qawtMGysU/edit?usp=sharing"",""สบก!AS38"")"),0)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IFERROR(__xludf.DUMMYFUNCTION("IMPORTRANGE(""https://docs.google.com/spreadsheets/d/1Yj_ptqi66GCucihVvJfMjLAmec39IyEx_6qawtMGysU/edit?usp=sharing"",""สบก!AN38"")"),0)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IFERROR(__xludf.DUMMYFUNCTION("IMPORTRANGE(""https://docs.google.com/spreadsheets/d/1Yj_ptqi66GCucihVvJfMjLAmec39IyEx_6qawtMGysU/edit?usp=sharing"",""สบก!AO38"")"),0)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52" t="s">
        <v>23</v>
      </c>
      <c r="E101" s="55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IFERROR(__xludf.DUMMYFUNCTION("IMPORTRANGE(""https://docs.google.com/spreadsheets/d/1Yj_ptqi66GCucihVvJfMjLAmec39IyEx_6qawtMGysU/edit?usp=sharing"",""สบก!AP38"")"),0)</f>
        <v>0</v>
      </c>
      <c r="M102" s="49"/>
      <c r="N102" s="49">
        <f ca="1">IFERROR(__xludf.DUMMYFUNCTION("IMPORTRANGE(""https://docs.google.com/spreadsheets/d/1Yj_ptqi66GCucihVvJfMjLAmec39IyEx_6qawtMGysU/edit?usp=sharing"",""สบก!AT38"")"),0)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IFERROR(__xludf.DUMMYFUNCTION("IMPORTRANGE(""https://docs.google.com/spreadsheets/d/1XL5vhW3sbDhbH9Cz0tuDiY8C3ctxq1tqvaCgkFb8cCA/edit?usp=sharing"",""กาฬสินธุ์!J39"")"),0)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IFERROR(__xludf.DUMMYFUNCTION("IMPORTRANGE(""https://docs.google.com/spreadsheets/d/1XL5vhW3sbDhbH9Cz0tuDiY8C3ctxq1tqvaCgkFb8cCA/edit?usp=sharing"",""กาฬสินธุ์!J40"")"),0)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IFERROR(__xludf.DUMMYFUNCTION("IMPORTRANGE(""https://docs.google.com/spreadsheets/d/1XL5vhW3sbDhbH9Cz0tuDiY8C3ctxq1tqvaCgkFb8cCA/edit?usp=sharing"",""กาฬสินธุ์!J41"")"),0)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IFERROR(__xludf.DUMMYFUNCTION("IMPORTRANGE(""https://docs.google.com/spreadsheets/d/1XL5vhW3sbDhbH9Cz0tuDiY8C3ctxq1tqvaCgkFb8cCA/edit?usp=sharing"",""กาฬสินธุ์!J42"")"),0)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IFERROR(__xludf.DUMMYFUNCTION("IMPORTRANGE(""https://docs.google.com/spreadsheets/d/1XL5vhW3sbDhbH9Cz0tuDiY8C3ctxq1tqvaCgkFb8cCA/edit?usp=sharing"",""กาฬสินธุ์!I43"")"),0)</f>
        <v>0</v>
      </c>
      <c r="J108" s="204">
        <f ca="1">IFERROR(__xludf.DUMMYFUNCTION("IMPORTRANGE(""https://docs.google.com/spreadsheets/d/1XL5vhW3sbDhbH9Cz0tuDiY8C3ctxq1tqvaCgkFb8cCA/edit?usp=sharing"",""กาฬสินธุ์!J43"")"),0)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IFERROR(__xludf.DUMMYFUNCTION("IMPORTRANGE(""https://docs.google.com/spreadsheets/d/1XL5vhW3sbDhbH9Cz0tuDiY8C3ctxq1tqvaCgkFb8cCA/edit?usp=sharing"",""กาฬสินธุ์!I44"")"),0)</f>
        <v>0</v>
      </c>
      <c r="J109" s="204">
        <f ca="1">IFERROR(__xludf.DUMMYFUNCTION("IMPORTRANGE(""https://docs.google.com/spreadsheets/d/1XL5vhW3sbDhbH9Cz0tuDiY8C3ctxq1tqvaCgkFb8cCA/edit?usp=sharing"",""กาฬสินธุ์!J44"")"),0)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IFERROR(__xludf.DUMMYFUNCTION("IMPORTRANGE(""https://docs.google.com/spreadsheets/d/1XL5vhW3sbDhbH9Cz0tuDiY8C3ctxq1tqvaCgkFb8cCA/edit?usp=sharing"",""กาฬสินธุ์!I45"")"),0)</f>
        <v>0</v>
      </c>
      <c r="J110" s="204">
        <f ca="1">IFERROR(__xludf.DUMMYFUNCTION("IMPORTRANGE(""https://docs.google.com/spreadsheets/d/1XL5vhW3sbDhbH9Cz0tuDiY8C3ctxq1tqvaCgkFb8cCA/edit?usp=sharing"",""กาฬสินธุ์!J45"")"),0)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IFERROR(__xludf.DUMMYFUNCTION("IMPORTRANGE(""https://docs.google.com/spreadsheets/d/1XL5vhW3sbDhbH9Cz0tuDiY8C3ctxq1tqvaCgkFb8cCA/edit?usp=sharing"",""กาฬสินธุ์!I46"")"),0)</f>
        <v>0</v>
      </c>
      <c r="J111" s="204">
        <f ca="1">IFERROR(__xludf.DUMMYFUNCTION("IMPORTRANGE(""https://docs.google.com/spreadsheets/d/1XL5vhW3sbDhbH9Cz0tuDiY8C3ctxq1tqvaCgkFb8cCA/edit?usp=sharing"",""กาฬสินธุ์!J46"")"),0)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IFERROR(__xludf.DUMMYFUNCTION("IMPORTRANGE(""https://docs.google.com/spreadsheets/d/1XL5vhW3sbDhbH9Cz0tuDiY8C3ctxq1tqvaCgkFb8cCA/edit?usp=sharing"",""กาฬสินธุ์!I47"")"),0)</f>
        <v>0</v>
      </c>
      <c r="J112" s="204">
        <f ca="1">IFERROR(__xludf.DUMMYFUNCTION("IMPORTRANGE(""https://docs.google.com/spreadsheets/d/1XL5vhW3sbDhbH9Cz0tuDiY8C3ctxq1tqvaCgkFb8cCA/edit?usp=sharing"",""กาฬสินธุ์!J47"")"),0)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IFERROR(__xludf.DUMMYFUNCTION("IMPORTRANGE(""https://docs.google.com/spreadsheets/d/1XL5vhW3sbDhbH9Cz0tuDiY8C3ctxq1tqvaCgkFb8cCA/edit?usp=sharing"",""กาฬสินธุ์!I48"")"),0)</f>
        <v>0</v>
      </c>
      <c r="J113" s="204">
        <f ca="1">IFERROR(__xludf.DUMMYFUNCTION("IMPORTRANGE(""https://docs.google.com/spreadsheets/d/1XL5vhW3sbDhbH9Cz0tuDiY8C3ctxq1tqvaCgkFb8cCA/edit?usp=sharing"",""กาฬสินธุ์!J48"")"),0)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IFERROR(__xludf.DUMMYFUNCTION("IMPORTRANGE(""https://docs.google.com/spreadsheets/d/1XL5vhW3sbDhbH9Cz0tuDiY8C3ctxq1tqvaCgkFb8cCA/edit?usp=sharing"",""กาฬสินธุ์!J49"")"),0)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IFERROR(__xludf.DUMMYFUNCTION("IMPORTRANGE(""https://docs.google.com/spreadsheets/d/1XL5vhW3sbDhbH9Cz0tuDiY8C3ctxq1tqvaCgkFb8cCA/edit?usp=sharing"",""กาฬสินธุ์!J50"")"),0)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IFERROR(__xludf.DUMMYFUNCTION("IMPORTRANGE(""https://docs.google.com/spreadsheets/d/1XL5vhW3sbDhbH9Cz0tuDiY8C3ctxq1tqvaCgkFb8cCA/edit?usp=sharing"",""กาฬสินธุ์!I52"")"),20)</f>
        <v>20</v>
      </c>
      <c r="J117" s="142">
        <f ca="1">IFERROR(__xludf.DUMMYFUNCTION("IMPORTRANGE(""https://docs.google.com/spreadsheets/d/1XL5vhW3sbDhbH9Cz0tuDiY8C3ctxq1tqvaCgkFb8cCA/edit?usp=sharing"",""กาฬสินธุ์!J52"")"),20)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54" t="s">
        <v>17</v>
      </c>
      <c r="E118" s="555"/>
      <c r="F118" s="555"/>
      <c r="G118" s="555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24165</v>
      </c>
      <c r="O118" s="151">
        <f t="shared" ref="O118:O120" ca="1" si="59">IF(L118&gt;0,N118*100/L118,0)</f>
        <v>29.312227074235807</v>
      </c>
      <c r="P118" s="151">
        <f t="shared" ref="P118:P120" ca="1" si="60">IF(M118&gt;0,N118*100/M118,0)</f>
        <v>29.312227074235807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24165</v>
      </c>
      <c r="O120" s="156">
        <f t="shared" ca="1" si="59"/>
        <v>29.312227074235807</v>
      </c>
      <c r="P120" s="156">
        <f t="shared" ca="1" si="60"/>
        <v>29.312227074235807</v>
      </c>
    </row>
    <row r="121" spans="1:16" ht="21.75" customHeight="1" x14ac:dyDescent="0.45">
      <c r="A121" s="158"/>
      <c r="B121" s="159"/>
      <c r="C121" s="159" t="s">
        <v>16</v>
      </c>
      <c r="D121" s="552" t="s">
        <v>20</v>
      </c>
      <c r="E121" s="553"/>
      <c r="F121" s="55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168">
        <f ca="1">IFERROR(__xludf.DUMMYFUNCTION("IMPORTRANGE(""https://docs.google.com/spreadsheets/d/1Yj_ptqi66GCucihVvJfMjLAmec39IyEx_6qawtMGysU/edit?usp=sharing"",""สบก!BA38"")"),82440)</f>
        <v>82440</v>
      </c>
      <c r="N122" s="169">
        <f ca="1">IFERROR(__xludf.DUMMYFUNCTION("IMPORTRANGE(""https://docs.google.com/spreadsheets/d/1Yj_ptqi66GCucihVvJfMjLAmec39IyEx_6qawtMGysU/edit?usp=sharing"",""สบก!BB38"")"),24165)</f>
        <v>24165</v>
      </c>
      <c r="O122" s="169">
        <f ca="1">IF(L122&gt;0,N122*100/L122,0)</f>
        <v>29.312227074235807</v>
      </c>
      <c r="P122" s="169">
        <f ca="1">IF(M122&gt;0,N122*100/M122,0)</f>
        <v>29.312227074235807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IFERROR(__xludf.DUMMYFUNCTION("IMPORTRANGE(""https://docs.google.com/spreadsheets/d/1Yj_ptqi66GCucihVvJfMjLAmec39IyEx_6qawtMGysU/edit?usp=sharing"",""สบก!AW38"")"),0)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IFERROR(__xludf.DUMMYFUNCTION("IMPORTRANGE(""https://docs.google.com/spreadsheets/d/1Yj_ptqi66GCucihVvJfMjLAmec39IyEx_6qawtMGysU/edit?usp=sharing"",""สบก!AX38"")"),82440)</f>
        <v>82440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52" t="s">
        <v>23</v>
      </c>
      <c r="E125" s="55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IFERROR(__xludf.DUMMYFUNCTION("IMPORTRANGE(""https://docs.google.com/spreadsheets/d/1Yj_ptqi66GCucihVvJfMjLAmec39IyEx_6qawtMGysU/edit?usp=sharing"",""สบก!AY38"")"),0)</f>
        <v>0</v>
      </c>
      <c r="M126" s="49"/>
      <c r="N126" s="49">
        <f ca="1">IFERROR(__xludf.DUMMYFUNCTION("IMPORTRANGE(""https://docs.google.com/spreadsheets/d/1Yj_ptqi66GCucihVvJfMjLAmec39IyEx_6qawtMGysU/edit?usp=sharing"",""สบก!BC38"")"),0)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3" t="s">
        <v>239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IFERROR(__xludf.DUMMYFUNCTION("IMPORTRANGE(""https://docs.google.com/spreadsheets/d/1XL5vhW3sbDhbH9Cz0tuDiY8C3ctxq1tqvaCgkFb8cCA/edit?usp=sharing"",""กาฬสินธุ์!J58"")"),0)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IFERROR(__xludf.DUMMYFUNCTION("IMPORTRANGE(""https://docs.google.com/spreadsheets/d/1XL5vhW3sbDhbH9Cz0tuDiY8C3ctxq1tqvaCgkFb8cCA/edit?usp=sharing"",""กาฬสินธุ์!J59"")"),1)</f>
        <v>1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IFERROR(__xludf.DUMMYFUNCTION("IMPORTRANGE(""https://docs.google.com/spreadsheets/d/1XL5vhW3sbDhbH9Cz0tuDiY8C3ctxq1tqvaCgkFb8cCA/edit?usp=sharing"",""กาฬสินธุ์!J60"")"),1)</f>
        <v>1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IFERROR(__xludf.DUMMYFUNCTION("IMPORTRANGE(""https://docs.google.com/spreadsheets/d/1XL5vhW3sbDhbH9Cz0tuDiY8C3ctxq1tqvaCgkFb8cCA/edit?usp=sharing"",""กาฬสินธุ์!J61"")"),1)</f>
        <v>1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IFERROR(__xludf.DUMMYFUNCTION("IMPORTRANGE(""https://docs.google.com/spreadsheets/d/1XL5vhW3sbDhbH9Cz0tuDiY8C3ctxq1tqvaCgkFb8cCA/edit?usp=sharing"",""กาฬสินธุ์!I62"")"),20)</f>
        <v>20</v>
      </c>
      <c r="J132" s="204">
        <f ca="1">IFERROR(__xludf.DUMMYFUNCTION("IMPORTRANGE(""https://docs.google.com/spreadsheets/d/1XL5vhW3sbDhbH9Cz0tuDiY8C3ctxq1tqvaCgkFb8cCA/edit?usp=sharing"",""กาฬสินธุ์!J62"")"),20)</f>
        <v>20</v>
      </c>
      <c r="K132" s="224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IFERROR(__xludf.DUMMYFUNCTION("IMPORTRANGE(""https://docs.google.com/spreadsheets/d/1XL5vhW3sbDhbH9Cz0tuDiY8C3ctxq1tqvaCgkFb8cCA/edit?usp=sharing"",""กาฬสินธุ์!I63"")"),20)</f>
        <v>20</v>
      </c>
      <c r="J133" s="204">
        <f ca="1">IFERROR(__xludf.DUMMYFUNCTION("IMPORTRANGE(""https://docs.google.com/spreadsheets/d/1XL5vhW3sbDhbH9Cz0tuDiY8C3ctxq1tqvaCgkFb8cCA/edit?usp=sharing"",""กาฬสินธุ์!J63"")"),20)</f>
        <v>20</v>
      </c>
      <c r="K133" s="224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IFERROR(__xludf.DUMMYFUNCTION("IMPORTRANGE(""https://docs.google.com/spreadsheets/d/1XL5vhW3sbDhbH9Cz0tuDiY8C3ctxq1tqvaCgkFb8cCA/edit?usp=sharing"",""กาฬสินธุ์!J64"")"),0)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IFERROR(__xludf.DUMMYFUNCTION("IMPORTRANGE(""https://docs.google.com/spreadsheets/d/1XL5vhW3sbDhbH9Cz0tuDiY8C3ctxq1tqvaCgkFb8cCA/edit?usp=sharing"",""กาฬสินธุ์!J65"")"),0)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IFERROR(__xludf.DUMMYFUNCTION("IMPORTRANGE(""https://docs.google.com/spreadsheets/d/1XL5vhW3sbDhbH9Cz0tuDiY8C3ctxq1tqvaCgkFb8cCA/edit?usp=sharing"",""กาฬสินธุ์!I68"")"),0)</f>
        <v>0</v>
      </c>
      <c r="J138" s="267">
        <f ca="1">IFERROR(__xludf.DUMMYFUNCTION("IMPORTRANGE(""https://docs.google.com/spreadsheets/d/1XL5vhW3sbDhbH9Cz0tuDiY8C3ctxq1tqvaCgkFb8cCA/edit?usp=sharing"",""กาฬสินธุ์!J68"")"),0)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54" t="s">
        <v>17</v>
      </c>
      <c r="E140" s="555"/>
      <c r="F140" s="555"/>
      <c r="G140" s="555"/>
      <c r="H140" s="149" t="s">
        <v>12</v>
      </c>
      <c r="I140" s="162"/>
      <c r="J140" s="162"/>
      <c r="K140" s="163"/>
      <c r="L140" s="152">
        <f t="shared" ref="L140:N140" ca="1" si="64">L141+L142</f>
        <v>83500</v>
      </c>
      <c r="M140" s="152">
        <f t="shared" ca="1" si="64"/>
        <v>55625</v>
      </c>
      <c r="N140" s="152">
        <f t="shared" ca="1" si="64"/>
        <v>46555</v>
      </c>
      <c r="O140" s="151">
        <f t="shared" ref="O140:O142" ca="1" si="65">IF(L140&gt;0,N140*100/L140,0)</f>
        <v>55.754491017964071</v>
      </c>
      <c r="P140" s="151">
        <f t="shared" ref="P140:P142" ca="1" si="66">IF(M140&gt;0,N140*100/M140,0)</f>
        <v>83.694382022471913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83500</v>
      </c>
      <c r="M142" s="157">
        <f t="shared" ca="1" si="68"/>
        <v>55625</v>
      </c>
      <c r="N142" s="157">
        <f t="shared" ca="1" si="68"/>
        <v>46555</v>
      </c>
      <c r="O142" s="156">
        <f t="shared" ca="1" si="65"/>
        <v>55.754491017964071</v>
      </c>
      <c r="P142" s="156">
        <f t="shared" ca="1" si="66"/>
        <v>83.694382022471913</v>
      </c>
    </row>
    <row r="143" spans="1:16" ht="21.75" customHeight="1" x14ac:dyDescent="0.45">
      <c r="A143" s="158"/>
      <c r="B143" s="159"/>
      <c r="C143" s="159" t="s">
        <v>16</v>
      </c>
      <c r="D143" s="552" t="s">
        <v>20</v>
      </c>
      <c r="E143" s="553"/>
      <c r="F143" s="55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83500</v>
      </c>
      <c r="M144" s="168">
        <f ca="1">IFERROR(__xludf.DUMMYFUNCTION("IMPORTRANGE(""https://docs.google.com/spreadsheets/d/1Yj_ptqi66GCucihVvJfMjLAmec39IyEx_6qawtMGysU/edit?usp=sharing"",""สบก!BJ38"")"),55625)</f>
        <v>55625</v>
      </c>
      <c r="N144" s="169">
        <f ca="1">IFERROR(__xludf.DUMMYFUNCTION("IMPORTRANGE(""https://docs.google.com/spreadsheets/d/1Yj_ptqi66GCucihVvJfMjLAmec39IyEx_6qawtMGysU/edit?usp=sharing"",""สบก!BK38"")"),46555)</f>
        <v>46555</v>
      </c>
      <c r="O144" s="169">
        <f ca="1">IF(L144&gt;0,N144*100/L144,0)</f>
        <v>55.754491017964071</v>
      </c>
      <c r="P144" s="169">
        <f ca="1">IF(M144&gt;0,N144*100/M144,0)</f>
        <v>83.694382022471913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IFERROR(__xludf.DUMMYFUNCTION("IMPORTRANGE(""https://docs.google.com/spreadsheets/d/1Yj_ptqi66GCucihVvJfMjLAmec39IyEx_6qawtMGysU/edit?usp=sharing"",""สบก!BF38"")"),0)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IFERROR(__xludf.DUMMYFUNCTION("IMPORTRANGE(""https://docs.google.com/spreadsheets/d/1Yj_ptqi66GCucihVvJfMjLAmec39IyEx_6qawtMGysU/edit?usp=sharing"",""สบก!BG38"")"),83500)</f>
        <v>83500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52" t="s">
        <v>23</v>
      </c>
      <c r="E147" s="55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IFERROR(__xludf.DUMMYFUNCTION("IMPORTRANGE(""https://docs.google.com/spreadsheets/d/1Yj_ptqi66GCucihVvJfMjLAmec39IyEx_6qawtMGysU/edit?usp=sharing"",""สบก!BH38"")"),0)</f>
        <v>0</v>
      </c>
      <c r="M148" s="49"/>
      <c r="N148" s="49">
        <f ca="1">IFERROR(__xludf.DUMMYFUNCTION("IMPORTRANGE(""https://docs.google.com/spreadsheets/d/1Yj_ptqi66GCucihVvJfMjLAmec39IyEx_6qawtMGysU/edit?usp=sharing"",""สบก!BL38"")"),0)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IFERROR(__xludf.DUMMYFUNCTION("IMPORTRANGE(""https://docs.google.com/spreadsheets/d/1XL5vhW3sbDhbH9Cz0tuDiY8C3ctxq1tqvaCgkFb8cCA/edit?usp=sharing"",""กาฬสินธุ์!I74"")"),4)</f>
        <v>4</v>
      </c>
      <c r="J149" s="275">
        <f ca="1">IFERROR(__xludf.DUMMYFUNCTION("IMPORTRANGE(""https://docs.google.com/spreadsheets/d/1XL5vhW3sbDhbH9Cz0tuDiY8C3ctxq1tqvaCgkFb8cCA/edit?usp=sharing"",""กาฬสินธุ์!J74"")"),0)</f>
        <v>0</v>
      </c>
      <c r="K149" s="276">
        <f ca="1">IF(I149&gt;0,J149*100/I149,0)</f>
        <v>0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IFERROR(__xludf.DUMMYFUNCTION("IMPORTRANGE(""https://docs.google.com/spreadsheets/d/1XL5vhW3sbDhbH9Cz0tuDiY8C3ctxq1tqvaCgkFb8cCA/edit?usp=sharing"",""กาฬสินธุ์!J79"")"),0)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IFERROR(__xludf.DUMMYFUNCTION("IMPORTRANGE(""https://docs.google.com/spreadsheets/d/1XL5vhW3sbDhbH9Cz0tuDiY8C3ctxq1tqvaCgkFb8cCA/edit?usp=sharing"",""กาฬสินธุ์!J80"")"),1)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IFERROR(__xludf.DUMMYFUNCTION("IMPORTRANGE(""https://docs.google.com/spreadsheets/d/1XL5vhW3sbDhbH9Cz0tuDiY8C3ctxq1tqvaCgkFb8cCA/edit?usp=sharing"",""กาฬสินธุ์!J81"")"),1)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IFERROR(__xludf.DUMMYFUNCTION("IMPORTRANGE(""https://docs.google.com/spreadsheets/d/1XL5vhW3sbDhbH9Cz0tuDiY8C3ctxq1tqvaCgkFb8cCA/edit?usp=sharing"",""กาฬสินธุ์!J82"")"),0)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IFERROR(__xludf.DUMMYFUNCTION("IMPORTRANGE(""https://docs.google.com/spreadsheets/d/1XL5vhW3sbDhbH9Cz0tuDiY8C3ctxq1tqvaCgkFb8cCA/edit?usp=sharing"",""กาฬสินธุ์!I83"")"),4)</f>
        <v>4</v>
      </c>
      <c r="J158" s="189">
        <f ca="1">IFERROR(__xludf.DUMMYFUNCTION("IMPORTRANGE(""https://docs.google.com/spreadsheets/d/1XL5vhW3sbDhbH9Cz0tuDiY8C3ctxq1tqvaCgkFb8cCA/edit?usp=sharing"",""กาฬสินธุ์!J83"")"),0)</f>
        <v>0</v>
      </c>
      <c r="K158" s="163">
        <f ca="1">IF(I158&gt;0,J158*100/I158,0)</f>
        <v>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IFERROR(__xludf.DUMMYFUNCTION("IMPORTRANGE(""https://docs.google.com/spreadsheets/d/1XL5vhW3sbDhbH9Cz0tuDiY8C3ctxq1tqvaCgkFb8cCA/edit?usp=sharing"",""กาฬสินธุ์!J84"")"),0)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IFERROR(__xludf.DUMMYFUNCTION("IMPORTRANGE(""https://docs.google.com/spreadsheets/d/1XL5vhW3sbDhbH9Cz0tuDiY8C3ctxq1tqvaCgkFb8cCA/edit?usp=sharing"",""กาฬสินธุ์!J85"")"),0)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IFERROR(__xludf.DUMMYFUNCTION("IMPORTRANGE(""https://docs.google.com/spreadsheets/d/1XL5vhW3sbDhbH9Cz0tuDiY8C3ctxq1tqvaCgkFb8cCA/edit?usp=sharing"",""กาฬสินธุ์!J86"")"),0)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IFERROR(__xludf.DUMMYFUNCTION("IMPORTRANGE(""https://docs.google.com/spreadsheets/d/1XL5vhW3sbDhbH9Cz0tuDiY8C3ctxq1tqvaCgkFb8cCA/edit?usp=sharing"",""กาฬสินธุ์!J87"")"),0)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IFERROR(__xludf.DUMMYFUNCTION("IMPORTRANGE(""https://docs.google.com/spreadsheets/d/1XL5vhW3sbDhbH9Cz0tuDiY8C3ctxq1tqvaCgkFb8cCA/edit?usp=sharing"",""กาฬสินธุ์!J88"")"),0)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IFERROR(__xludf.DUMMYFUNCTION("IMPORTRANGE(""https://docs.google.com/spreadsheets/d/1XL5vhW3sbDhbH9Cz0tuDiY8C3ctxq1tqvaCgkFb8cCA/edit?usp=sharing"",""กาฬสินธุ์!I89"")"),3)</f>
        <v>3</v>
      </c>
      <c r="J164" s="284">
        <f ca="1">IFERROR(__xludf.DUMMYFUNCTION("IMPORTRANGE(""https://docs.google.com/spreadsheets/d/1XL5vhW3sbDhbH9Cz0tuDiY8C3ctxq1tqvaCgkFb8cCA/edit?usp=sharing"",""กาฬสินธุ์!J89"")"),3)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IFERROR(__xludf.DUMMYFUNCTION("IMPORTRANGE(""https://docs.google.com/spreadsheets/d/1XL5vhW3sbDhbH9Cz0tuDiY8C3ctxq1tqvaCgkFb8cCA/edit?usp=sharing"",""กาฬสินธุ์!J94"")"),0)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IFERROR(__xludf.DUMMYFUNCTION("IMPORTRANGE(""https://docs.google.com/spreadsheets/d/1XL5vhW3sbDhbH9Cz0tuDiY8C3ctxq1tqvaCgkFb8cCA/edit?usp=sharing"",""กาฬสินธุ์!J95"")"),1)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IFERROR(__xludf.DUMMYFUNCTION("IMPORTRANGE(""https://docs.google.com/spreadsheets/d/1XL5vhW3sbDhbH9Cz0tuDiY8C3ctxq1tqvaCgkFb8cCA/edit?usp=sharing"",""กาฬสินธุ์!J96"")"),1)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IFERROR(__xludf.DUMMYFUNCTION("IMPORTRANGE(""https://docs.google.com/spreadsheets/d/1XL5vhW3sbDhbH9Cz0tuDiY8C3ctxq1tqvaCgkFb8cCA/edit?usp=sharing"",""กาฬสินธุ์!J97"")"),1)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IFERROR(__xludf.DUMMYFUNCTION("IMPORTRANGE(""https://docs.google.com/spreadsheets/d/1XL5vhW3sbDhbH9Cz0tuDiY8C3ctxq1tqvaCgkFb8cCA/edit?usp=sharing"",""กาฬสินธุ์!I98"")"),3)</f>
        <v>3</v>
      </c>
      <c r="J173" s="189">
        <f ca="1">IFERROR(__xludf.DUMMYFUNCTION("IMPORTRANGE(""https://docs.google.com/spreadsheets/d/1XL5vhW3sbDhbH9Cz0tuDiY8C3ctxq1tqvaCgkFb8cCA/edit?usp=sharing"",""กาฬสินธุ์!J98"")"),3)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IFERROR(__xludf.DUMMYFUNCTION("IMPORTRANGE(""https://docs.google.com/spreadsheets/d/1XL5vhW3sbDhbH9Cz0tuDiY8C3ctxq1tqvaCgkFb8cCA/edit?usp=sharing"",""กาฬสินธุ์!J99"")"),0)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IFERROR(__xludf.DUMMYFUNCTION("IMPORTRANGE(""https://docs.google.com/spreadsheets/d/1XL5vhW3sbDhbH9Cz0tuDiY8C3ctxq1tqvaCgkFb8cCA/edit?usp=sharing"",""กาฬสินธุ์!J100"")"),0)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IFERROR(__xludf.DUMMYFUNCTION("IMPORTRANGE(""https://docs.google.com/spreadsheets/d/1XL5vhW3sbDhbH9Cz0tuDiY8C3ctxq1tqvaCgkFb8cCA/edit?usp=sharing"",""กาฬสินธุ์!I101"")"),0)</f>
        <v>0</v>
      </c>
      <c r="J176" s="284">
        <f ca="1">IFERROR(__xludf.DUMMYFUNCTION("IMPORTRANGE(""https://docs.google.com/spreadsheets/d/1XL5vhW3sbDhbH9Cz0tuDiY8C3ctxq1tqvaCgkFb8cCA/edit?usp=sharing"",""กาฬสินธุ์!J101"")"),0)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IFERROR(__xludf.DUMMYFUNCTION("IMPORTRANGE(""https://docs.google.com/spreadsheets/d/1XL5vhW3sbDhbH9Cz0tuDiY8C3ctxq1tqvaCgkFb8cCA/edit?usp=sharing"",""กาฬสินธุ์!J106"")"),0)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IFERROR(__xludf.DUMMYFUNCTION("IMPORTRANGE(""https://docs.google.com/spreadsheets/d/1XL5vhW3sbDhbH9Cz0tuDiY8C3ctxq1tqvaCgkFb8cCA/edit?usp=sharing"",""กาฬสินธุ์!J107"")"),0)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IFERROR(__xludf.DUMMYFUNCTION("IMPORTRANGE(""https://docs.google.com/spreadsheets/d/1XL5vhW3sbDhbH9Cz0tuDiY8C3ctxq1tqvaCgkFb8cCA/edit?usp=sharing"",""กาฬสินธุ์!J108"")"),0)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IFERROR(__xludf.DUMMYFUNCTION("IMPORTRANGE(""https://docs.google.com/spreadsheets/d/1XL5vhW3sbDhbH9Cz0tuDiY8C3ctxq1tqvaCgkFb8cCA/edit?usp=sharing"",""กาฬสินธุ์!J109"")"),0)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IFERROR(__xludf.DUMMYFUNCTION("IMPORTRANGE(""https://docs.google.com/spreadsheets/d/1XL5vhW3sbDhbH9Cz0tuDiY8C3ctxq1tqvaCgkFb8cCA/edit?usp=sharing"",""กาฬสินธุ์!I110"")"),0)</f>
        <v>0</v>
      </c>
      <c r="J185" s="204">
        <f ca="1">IFERROR(__xludf.DUMMYFUNCTION("IMPORTRANGE(""https://docs.google.com/spreadsheets/d/1XL5vhW3sbDhbH9Cz0tuDiY8C3ctxq1tqvaCgkFb8cCA/edit?usp=sharing"",""กาฬสินธุ์!J110"")"),0)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IFERROR(__xludf.DUMMYFUNCTION("IMPORTRANGE(""https://docs.google.com/spreadsheets/d/1XL5vhW3sbDhbH9Cz0tuDiY8C3ctxq1tqvaCgkFb8cCA/edit?usp=sharing"",""กาฬสินธุ์!I111"")"),0)</f>
        <v>0</v>
      </c>
      <c r="J186" s="204">
        <f ca="1">IFERROR(__xludf.DUMMYFUNCTION("IMPORTRANGE(""https://docs.google.com/spreadsheets/d/1XL5vhW3sbDhbH9Cz0tuDiY8C3ctxq1tqvaCgkFb8cCA/edit?usp=sharing"",""กาฬสินธุ์!J111"")"),0)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IFERROR(__xludf.DUMMYFUNCTION("IMPORTRANGE(""https://docs.google.com/spreadsheets/d/1XL5vhW3sbDhbH9Cz0tuDiY8C3ctxq1tqvaCgkFb8cCA/edit?usp=sharing"",""กาฬสินธุ์!J112"")"),0)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IFERROR(__xludf.DUMMYFUNCTION("IMPORTRANGE(""https://docs.google.com/spreadsheets/d/1XL5vhW3sbDhbH9Cz0tuDiY8C3ctxq1tqvaCgkFb8cCA/edit?usp=sharing"",""กาฬสินธุ์!J113"")"),0)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IFERROR(__xludf.DUMMYFUNCTION("IMPORTRANGE(""https://docs.google.com/spreadsheets/d/1XL5vhW3sbDhbH9Cz0tuDiY8C3ctxq1tqvaCgkFb8cCA/edit?usp=sharing"",""กาฬสินธุ์!I114"")"),100000)</f>
        <v>100000</v>
      </c>
      <c r="J189" s="284">
        <f ca="1">IFERROR(__xludf.DUMMYFUNCTION("IMPORTRANGE(""https://docs.google.com/spreadsheets/d/1XL5vhW3sbDhbH9Cz0tuDiY8C3ctxq1tqvaCgkFb8cCA/edit?usp=sharing"",""กาฬสินธุ์!J114"")"),0)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IFERROR(__xludf.DUMMYFUNCTION("IMPORTRANGE(""https://docs.google.com/spreadsheets/d/1XL5vhW3sbDhbH9Cz0tuDiY8C3ctxq1tqvaCgkFb8cCA/edit?usp=sharing"",""กาฬสินธุ์!J119"")"),0)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IFERROR(__xludf.DUMMYFUNCTION("IMPORTRANGE(""https://docs.google.com/spreadsheets/d/1XL5vhW3sbDhbH9Cz0tuDiY8C3ctxq1tqvaCgkFb8cCA/edit?usp=sharing"",""กาฬสินธุ์!J120"")"),1)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IFERROR(__xludf.DUMMYFUNCTION("IMPORTRANGE(""https://docs.google.com/spreadsheets/d/1XL5vhW3sbDhbH9Cz0tuDiY8C3ctxq1tqvaCgkFb8cCA/edit?usp=sharing"",""กาฬสินธุ์!J121"")"),1)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IFERROR(__xludf.DUMMYFUNCTION("IMPORTRANGE(""https://docs.google.com/spreadsheets/d/1XL5vhW3sbDhbH9Cz0tuDiY8C3ctxq1tqvaCgkFb8cCA/edit?usp=sharing"",""กาฬสินธุ์!J122"")"),0)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IFERROR(__xludf.DUMMYFUNCTION("IMPORTRANGE(""https://docs.google.com/spreadsheets/d/1XL5vhW3sbDhbH9Cz0tuDiY8C3ctxq1tqvaCgkFb8cCA/edit?usp=sharing"",""กาฬสินธุ์!I124"")"),100000)</f>
        <v>100000</v>
      </c>
      <c r="J199" s="189">
        <f ca="1">IFERROR(__xludf.DUMMYFUNCTION("IMPORTRANGE(""https://docs.google.com/spreadsheets/d/1XL5vhW3sbDhbH9Cz0tuDiY8C3ctxq1tqvaCgkFb8cCA/edit?usp=sharing"",""กาฬสินธุ์!J124"")"),100000)</f>
        <v>100000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IFERROR(__xludf.DUMMYFUNCTION("IMPORTRANGE(""https://docs.google.com/spreadsheets/d/1XL5vhW3sbDhbH9Cz0tuDiY8C3ctxq1tqvaCgkFb8cCA/edit?usp=sharing"",""กาฬสินธุ์!I125"")"),100000)</f>
        <v>100000</v>
      </c>
      <c r="J200" s="189">
        <f ca="1">IFERROR(__xludf.DUMMYFUNCTION("IMPORTRANGE(""https://docs.google.com/spreadsheets/d/1XL5vhW3sbDhbH9Cz0tuDiY8C3ctxq1tqvaCgkFb8cCA/edit?usp=sharing"",""กาฬสินธุ์!J125"")"),0)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IFERROR(__xludf.DUMMYFUNCTION("IMPORTRANGE(""https://docs.google.com/spreadsheets/d/1XL5vhW3sbDhbH9Cz0tuDiY8C3ctxq1tqvaCgkFb8cCA/edit?usp=sharing"",""กาฬสินธุ์!I126"")"),0)</f>
        <v>0</v>
      </c>
      <c r="J201" s="189">
        <f ca="1">IFERROR(__xludf.DUMMYFUNCTION("IMPORTRANGE(""https://docs.google.com/spreadsheets/d/1XL5vhW3sbDhbH9Cz0tuDiY8C3ctxq1tqvaCgkFb8cCA/edit?usp=sharing"",""กาฬสินธุ์!J126"")"),0)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IFERROR(__xludf.DUMMYFUNCTION("IMPORTRANGE(""https://docs.google.com/spreadsheets/d/1XL5vhW3sbDhbH9Cz0tuDiY8C3ctxq1tqvaCgkFb8cCA/edit?usp=sharing"",""กาฬสินธุ์!J127"")"),0)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IFERROR(__xludf.DUMMYFUNCTION("IMPORTRANGE(""https://docs.google.com/spreadsheets/d/1XL5vhW3sbDhbH9Cz0tuDiY8C3ctxq1tqvaCgkFb8cCA/edit?usp=sharing"",""กาฬสินธุ์!J128"")"),0)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IFERROR(__xludf.DUMMYFUNCTION("IMPORTRANGE(""https://docs.google.com/spreadsheets/d/1XL5vhW3sbDhbH9Cz0tuDiY8C3ctxq1tqvaCgkFb8cCA/edit?usp=sharing"",""กาฬสินธุ์!I129"")"),0)</f>
        <v>0</v>
      </c>
      <c r="J204" s="284">
        <f ca="1">IFERROR(__xludf.DUMMYFUNCTION("IMPORTRANGE(""https://docs.google.com/spreadsheets/d/1XL5vhW3sbDhbH9Cz0tuDiY8C3ctxq1tqvaCgkFb8cCA/edit?usp=sharing"",""กาฬสินธุ์!J129"")"),0)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IFERROR(__xludf.DUMMYFUNCTION("IMPORTRANGE(""https://docs.google.com/spreadsheets/d/1XL5vhW3sbDhbH9Cz0tuDiY8C3ctxq1tqvaCgkFb8cCA/edit?usp=sharing"",""กาฬสินธุ์!J134"")"),0)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IFERROR(__xludf.DUMMYFUNCTION("IMPORTRANGE(""https://docs.google.com/spreadsheets/d/1XL5vhW3sbDhbH9Cz0tuDiY8C3ctxq1tqvaCgkFb8cCA/edit?usp=sharing"",""กาฬสินธุ์!J135"")"),0)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IFERROR(__xludf.DUMMYFUNCTION("IMPORTRANGE(""https://docs.google.com/spreadsheets/d/1XL5vhW3sbDhbH9Cz0tuDiY8C3ctxq1tqvaCgkFb8cCA/edit?usp=sharing"",""กาฬสินธุ์!J136"")"),0)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IFERROR(__xludf.DUMMYFUNCTION("IMPORTRANGE(""https://docs.google.com/spreadsheets/d/1XL5vhW3sbDhbH9Cz0tuDiY8C3ctxq1tqvaCgkFb8cCA/edit?usp=sharing"",""กาฬสินธุ์!J137"")"),0)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IFERROR(__xludf.DUMMYFUNCTION("IMPORTRANGE(""https://docs.google.com/spreadsheets/d/1XL5vhW3sbDhbH9Cz0tuDiY8C3ctxq1tqvaCgkFb8cCA/edit?usp=sharing"",""กาฬสินธุ์!I138"")"),0)</f>
        <v>0</v>
      </c>
      <c r="J213" s="204">
        <f ca="1">IFERROR(__xludf.DUMMYFUNCTION("IMPORTRANGE(""https://docs.google.com/spreadsheets/d/1XL5vhW3sbDhbH9Cz0tuDiY8C3ctxq1tqvaCgkFb8cCA/edit?usp=sharing"",""กาฬสินธุ์!J138"")"),0)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IFERROR(__xludf.DUMMYFUNCTION("IMPORTRANGE(""https://docs.google.com/spreadsheets/d/1XL5vhW3sbDhbH9Cz0tuDiY8C3ctxq1tqvaCgkFb8cCA/edit?usp=sharing"",""กาฬสินธุ์!I140"")"),0)</f>
        <v>0</v>
      </c>
      <c r="J215" s="204">
        <f ca="1">IFERROR(__xludf.DUMMYFUNCTION("IMPORTRANGE(""https://docs.google.com/spreadsheets/d/1XL5vhW3sbDhbH9Cz0tuDiY8C3ctxq1tqvaCgkFb8cCA/edit?usp=sharing"",""กาฬสินธุ์!J140"")"),0)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IFERROR(__xludf.DUMMYFUNCTION("IMPORTRANGE(""https://docs.google.com/spreadsheets/d/1XL5vhW3sbDhbH9Cz0tuDiY8C3ctxq1tqvaCgkFb8cCA/edit?usp=sharing"",""กาฬสินธุ์!I141"")"),0)</f>
        <v>0</v>
      </c>
      <c r="J216" s="204">
        <f ca="1">IFERROR(__xludf.DUMMYFUNCTION("IMPORTRANGE(""https://docs.google.com/spreadsheets/d/1XL5vhW3sbDhbH9Cz0tuDiY8C3ctxq1tqvaCgkFb8cCA/edit?usp=sharing"",""กาฬสินธุ์!J141"")"),0)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IFERROR(__xludf.DUMMYFUNCTION("IMPORTRANGE(""https://docs.google.com/spreadsheets/d/1XL5vhW3sbDhbH9Cz0tuDiY8C3ctxq1tqvaCgkFb8cCA/edit?usp=sharing"",""กาฬสินธุ์!J142"")"),0)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IFERROR(__xludf.DUMMYFUNCTION("IMPORTRANGE(""https://docs.google.com/spreadsheets/d/1XL5vhW3sbDhbH9Cz0tuDiY8C3ctxq1tqvaCgkFb8cCA/edit?usp=sharing"",""กาฬสินธุ์!J143"")"),0)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IFERROR(__xludf.DUMMYFUNCTION("IMPORTRANGE(""https://docs.google.com/spreadsheets/d/1XL5vhW3sbDhbH9Cz0tuDiY8C3ctxq1tqvaCgkFb8cCA/edit?usp=sharing"",""กาฬสินธุ์!I144"")"),15)</f>
        <v>15</v>
      </c>
      <c r="J219" s="267">
        <f ca="1">IFERROR(__xludf.DUMMYFUNCTION("IMPORTRANGE(""https://docs.google.com/spreadsheets/d/1XL5vhW3sbDhbH9Cz0tuDiY8C3ctxq1tqvaCgkFb8cCA/edit?usp=sharing"",""กาฬสินธุ์!J144"")"),15)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54" t="s">
        <v>17</v>
      </c>
      <c r="E220" s="555"/>
      <c r="F220" s="555"/>
      <c r="G220" s="55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20675</v>
      </c>
      <c r="O220" s="151">
        <f t="shared" ref="O220:O222" ca="1" si="73">IF(L220&gt;0,N220*100/L220,0)</f>
        <v>97.869822485207095</v>
      </c>
      <c r="P220" s="151">
        <f t="shared" ref="P220:P222" ca="1" si="74">IF(M220&gt;0,N220*100/M220,0)</f>
        <v>97.869822485207095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20675</v>
      </c>
      <c r="O222" s="156">
        <f t="shared" ca="1" si="73"/>
        <v>97.869822485207095</v>
      </c>
      <c r="P222" s="156">
        <f t="shared" ca="1" si="74"/>
        <v>97.869822485207095</v>
      </c>
    </row>
    <row r="223" spans="1:16" ht="21.75" customHeight="1" x14ac:dyDescent="0.45">
      <c r="A223" s="158"/>
      <c r="B223" s="159"/>
      <c r="C223" s="159" t="s">
        <v>16</v>
      </c>
      <c r="D223" s="552" t="s">
        <v>20</v>
      </c>
      <c r="E223" s="553"/>
      <c r="F223" s="55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IFERROR(__xludf.DUMMYFUNCTION("IMPORTRANGE(""https://docs.google.com/spreadsheets/d/1Yj_ptqi66GCucihVvJfMjLAmec39IyEx_6qawtMGysU/edit?usp=sharing"",""สบก!BS38"")"),21125)</f>
        <v>21125</v>
      </c>
      <c r="N224" s="169">
        <f ca="1">IFERROR(__xludf.DUMMYFUNCTION("IMPORTRANGE(""https://docs.google.com/spreadsheets/d/1Yj_ptqi66GCucihVvJfMjLAmec39IyEx_6qawtMGysU/edit?usp=sharing"",""สบก!BT38"")"),20675)</f>
        <v>20675</v>
      </c>
      <c r="O224" s="169">
        <f ca="1">IF(L224&gt;0,N224*100/L224,0)</f>
        <v>97.869822485207095</v>
      </c>
      <c r="P224" s="169">
        <f ca="1">IF(M224&gt;0,N224*100/M224,0)</f>
        <v>97.869822485207095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IFERROR(__xludf.DUMMYFUNCTION("IMPORTRANGE(""https://docs.google.com/spreadsheets/d/1Yj_ptqi66GCucihVvJfMjLAmec39IyEx_6qawtMGysU/edit?usp=sharing"",""สบก!BO38"")"),0)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IFERROR(__xludf.DUMMYFUNCTION("IMPORTRANGE(""https://docs.google.com/spreadsheets/d/1Yj_ptqi66GCucihVvJfMjLAmec39IyEx_6qawtMGysU/edit?usp=sharing"",""สบก!BP38"")"),21125)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52" t="s">
        <v>23</v>
      </c>
      <c r="E227" s="55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IFERROR(__xludf.DUMMYFUNCTION("IMPORTRANGE(""https://docs.google.com/spreadsheets/d/1Yj_ptqi66GCucihVvJfMjLAmec39IyEx_6qawtMGysU/edit?usp=sharing"",""สบก!BQ38"")"),0)</f>
        <v>0</v>
      </c>
      <c r="M228" s="49"/>
      <c r="N228" s="49">
        <f ca="1">IFERROR(__xludf.DUMMYFUNCTION("IMPORTRANGE(""https://docs.google.com/spreadsheets/d/1Yj_ptqi66GCucihVvJfMjLAmec39IyEx_6qawtMGysU/edit?usp=sharing"",""สบก!BU38"")"),0)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IFERROR(__xludf.DUMMYFUNCTION("IMPORTRANGE(""https://docs.google.com/spreadsheets/d/1XL5vhW3sbDhbH9Cz0tuDiY8C3ctxq1tqvaCgkFb8cCA/edit?usp=sharing"",""กาฬสินธุ์!I149"")"),15)</f>
        <v>15</v>
      </c>
      <c r="J229" s="267">
        <f ca="1">IFERROR(__xludf.DUMMYFUNCTION("IMPORTRANGE(""https://docs.google.com/spreadsheets/d/1XL5vhW3sbDhbH9Cz0tuDiY8C3ctxq1tqvaCgkFb8cCA/edit?usp=sharing"",""กาฬสินธุ์!J149"")"),15)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IFERROR(__xludf.DUMMYFUNCTION("IMPORTRANGE(""https://docs.google.com/spreadsheets/d/1XL5vhW3sbDhbH9Cz0tuDiY8C3ctxq1tqvaCgkFb8cCA/edit?usp=sharing"",""กาฬสินธุ์!J151"")"),0)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IFERROR(__xludf.DUMMYFUNCTION("IMPORTRANGE(""https://docs.google.com/spreadsheets/d/1XL5vhW3sbDhbH9Cz0tuDiY8C3ctxq1tqvaCgkFb8cCA/edit?usp=sharing"",""กาฬสินธุ์!J152"")"),1)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IFERROR(__xludf.DUMMYFUNCTION("IMPORTRANGE(""https://docs.google.com/spreadsheets/d/1XL5vhW3sbDhbH9Cz0tuDiY8C3ctxq1tqvaCgkFb8cCA/edit?usp=sharing"",""กาฬสินธุ์!J153"")"),1)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IFERROR(__xludf.DUMMYFUNCTION("IMPORTRANGE(""https://docs.google.com/spreadsheets/d/1XL5vhW3sbDhbH9Cz0tuDiY8C3ctxq1tqvaCgkFb8cCA/edit?usp=sharing"",""กาฬสินธุ์!J154"")"),1)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IFERROR(__xludf.DUMMYFUNCTION("IMPORTRANGE(""https://docs.google.com/spreadsheets/d/1XL5vhW3sbDhbH9Cz0tuDiY8C3ctxq1tqvaCgkFb8cCA/edit?usp=sharing"",""กาฬสินธุ์!I155"")"),15)</f>
        <v>15</v>
      </c>
      <c r="J235" s="189">
        <f ca="1">IFERROR(__xludf.DUMMYFUNCTION("IMPORTRANGE(""https://docs.google.com/spreadsheets/d/1XL5vhW3sbDhbH9Cz0tuDiY8C3ctxq1tqvaCgkFb8cCA/edit?usp=sharing"",""กาฬสินธุ์!J155"")"),15)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IFERROR(__xludf.DUMMYFUNCTION("IMPORTRANGE(""https://docs.google.com/spreadsheets/d/1XL5vhW3sbDhbH9Cz0tuDiY8C3ctxq1tqvaCgkFb8cCA/edit?usp=sharing"",""กาฬสินธุ์!J156"")"),0)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IFERROR(__xludf.DUMMYFUNCTION("IMPORTRANGE(""https://docs.google.com/spreadsheets/d/1XL5vhW3sbDhbH9Cz0tuDiY8C3ctxq1tqvaCgkFb8cCA/edit?usp=sharing"",""กาฬสินธุ์!J157"")"),0)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IFERROR(__xludf.DUMMYFUNCTION("IMPORTRANGE(""https://docs.google.com/spreadsheets/d/1XL5vhW3sbDhbH9Cz0tuDiY8C3ctxq1tqvaCgkFb8cCA/edit?usp=sharing"",""กาฬสินธุ์!I158"")"),0)</f>
        <v>0</v>
      </c>
      <c r="J238" s="267">
        <f ca="1">IFERROR(__xludf.DUMMYFUNCTION("IMPORTRANGE(""https://docs.google.com/spreadsheets/d/1XL5vhW3sbDhbH9Cz0tuDiY8C3ctxq1tqvaCgkFb8cCA/edit?usp=sharing"",""กาฬสินธุ์!J158"")"),0)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IFERROR(__xludf.DUMMYFUNCTION("IMPORTRANGE(""https://docs.google.com/spreadsheets/d/1XL5vhW3sbDhbH9Cz0tuDiY8C3ctxq1tqvaCgkFb8cCA/edit?usp=sharing"",""กาฬสินธุ์!J159"")"),"")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IFERROR(__xludf.DUMMYFUNCTION("IMPORTRANGE(""https://docs.google.com/spreadsheets/d/1XL5vhW3sbDhbH9Cz0tuDiY8C3ctxq1tqvaCgkFb8cCA/edit?usp=sharing"",""กาฬสินธุ์!J161"")"),0)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IFERROR(__xludf.DUMMYFUNCTION("IMPORTRANGE(""https://docs.google.com/spreadsheets/d/1XL5vhW3sbDhbH9Cz0tuDiY8C3ctxq1tqvaCgkFb8cCA/edit?usp=sharing"",""กาฬสินธุ์!J162"")"),0)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IFERROR(__xludf.DUMMYFUNCTION("IMPORTRANGE(""https://docs.google.com/spreadsheets/d/1XL5vhW3sbDhbH9Cz0tuDiY8C3ctxq1tqvaCgkFb8cCA/edit?usp=sharing"",""กาฬสินธุ์!J163"")"),0)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IFERROR(__xludf.DUMMYFUNCTION("IMPORTRANGE(""https://docs.google.com/spreadsheets/d/1XL5vhW3sbDhbH9Cz0tuDiY8C3ctxq1tqvaCgkFb8cCA/edit?usp=sharing"",""กาฬสินธุ์!I164"")"),0)</f>
        <v>0</v>
      </c>
      <c r="J244" s="188">
        <f ca="1">IFERROR(__xludf.DUMMYFUNCTION("IMPORTRANGE(""https://docs.google.com/spreadsheets/d/1XL5vhW3sbDhbH9Cz0tuDiY8C3ctxq1tqvaCgkFb8cCA/edit?usp=sharing"",""กาฬสินธุ์!J164"")"),0)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IFERROR(__xludf.DUMMYFUNCTION("IMPORTRANGE(""https://docs.google.com/spreadsheets/d/1XL5vhW3sbDhbH9Cz0tuDiY8C3ctxq1tqvaCgkFb8cCA/edit?usp=sharing"",""กาฬสินธุ์!J165"")"),0)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IFERROR(__xludf.DUMMYFUNCTION("IMPORTRANGE(""https://docs.google.com/spreadsheets/d/1XL5vhW3sbDhbH9Cz0tuDiY8C3ctxq1tqvaCgkFb8cCA/edit?usp=sharing"",""กาฬสินธุ์!J166"")"),0)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IFERROR(__xludf.DUMMYFUNCTION("IMPORTRANGE(""https://docs.google.com/spreadsheets/d/1XL5vhW3sbDhbH9Cz0tuDiY8C3ctxq1tqvaCgkFb8cCA/edit?usp=sharing"",""กาฬสินธุ์!I169"")"),20)</f>
        <v>20</v>
      </c>
      <c r="J249" s="316">
        <f ca="1">IFERROR(__xludf.DUMMYFUNCTION("IMPORTRANGE(""https://docs.google.com/spreadsheets/d/1XL5vhW3sbDhbH9Cz0tuDiY8C3ctxq1tqvaCgkFb8cCA/edit?usp=sharing"",""กาฬสินธุ์!J169"")"),20)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54" t="s">
        <v>17</v>
      </c>
      <c r="E250" s="555"/>
      <c r="F250" s="555"/>
      <c r="G250" s="555"/>
      <c r="H250" s="149" t="s">
        <v>12</v>
      </c>
      <c r="I250" s="162"/>
      <c r="J250" s="162"/>
      <c r="K250" s="163"/>
      <c r="L250" s="152">
        <f t="shared" ref="L250:N250" ca="1" si="77">L251+L252</f>
        <v>335400</v>
      </c>
      <c r="M250" s="152">
        <f t="shared" ca="1" si="77"/>
        <v>240000</v>
      </c>
      <c r="N250" s="152">
        <f t="shared" ca="1" si="77"/>
        <v>129500.1</v>
      </c>
      <c r="O250" s="151">
        <f t="shared" ref="O250:O252" ca="1" si="78">IF(L250&gt;0,N250*100/L250,0)</f>
        <v>38.610644007155635</v>
      </c>
      <c r="P250" s="151">
        <f t="shared" ref="P250:P252" ca="1" si="79">IF(M250&gt;0,N250*100/M250,0)</f>
        <v>53.958374999999997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335400</v>
      </c>
      <c r="M252" s="157">
        <f t="shared" ca="1" si="81"/>
        <v>240000</v>
      </c>
      <c r="N252" s="157">
        <f t="shared" ca="1" si="81"/>
        <v>129500.1</v>
      </c>
      <c r="O252" s="156">
        <f t="shared" ca="1" si="78"/>
        <v>38.610644007155635</v>
      </c>
      <c r="P252" s="156">
        <f t="shared" ca="1" si="79"/>
        <v>53.958374999999997</v>
      </c>
    </row>
    <row r="253" spans="1:16" ht="21.75" customHeight="1" x14ac:dyDescent="0.45">
      <c r="A253" s="158"/>
      <c r="B253" s="159"/>
      <c r="C253" s="159" t="s">
        <v>16</v>
      </c>
      <c r="D253" s="552" t="s">
        <v>20</v>
      </c>
      <c r="E253" s="553"/>
      <c r="F253" s="55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335400</v>
      </c>
      <c r="M254" s="168">
        <f ca="1">IFERROR(__xludf.DUMMYFUNCTION("IMPORTRANGE(""https://docs.google.com/spreadsheets/d/1Yj_ptqi66GCucihVvJfMjLAmec39IyEx_6qawtMGysU/edit?usp=sharing"",""สบก!CB38"")"),240000)</f>
        <v>240000</v>
      </c>
      <c r="N254" s="169">
        <f ca="1">IFERROR(__xludf.DUMMYFUNCTION("IMPORTRANGE(""https://docs.google.com/spreadsheets/d/1Yj_ptqi66GCucihVvJfMjLAmec39IyEx_6qawtMGysU/edit?usp=sharing"",""สบก!CC38"")"),129500.1)</f>
        <v>129500.1</v>
      </c>
      <c r="O254" s="169">
        <f ca="1">IF(L254&gt;0,N254*100/L254,0)</f>
        <v>38.610644007155635</v>
      </c>
      <c r="P254" s="169">
        <f ca="1">IF(M254&gt;0,N254*100/M254,0)</f>
        <v>53.958374999999997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IFERROR(__xludf.DUMMYFUNCTION("IMPORTRANGE(""https://docs.google.com/spreadsheets/d/1Yj_ptqi66GCucihVvJfMjLAmec39IyEx_6qawtMGysU/edit?usp=sharing"",""สบก!BX38"")"),264000)</f>
        <v>264000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IFERROR(__xludf.DUMMYFUNCTION("IMPORTRANGE(""https://docs.google.com/spreadsheets/d/1Yj_ptqi66GCucihVvJfMjLAmec39IyEx_6qawtMGysU/edit?usp=sharing"",""สบก!BY38"")"),71400)</f>
        <v>71400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52" t="s">
        <v>23</v>
      </c>
      <c r="E257" s="55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IFERROR(__xludf.DUMMYFUNCTION("IMPORTRANGE(""https://docs.google.com/spreadsheets/d/1Yj_ptqi66GCucihVvJfMjLAmec39IyEx_6qawtMGysU/edit?usp=sharing"",""สบก!BZ38"")"),0)</f>
        <v>0</v>
      </c>
      <c r="M258" s="49"/>
      <c r="N258" s="49">
        <f ca="1">IFERROR(__xludf.DUMMYFUNCTION("IMPORTRANGE(""https://docs.google.com/spreadsheets/d/1Yj_ptqi66GCucihVvJfMjLAmec39IyEx_6qawtMGysU/edit?usp=sharing"",""สบก!CD38"")"),0)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IFERROR(__xludf.DUMMYFUNCTION("IMPORTRANGE(""https://docs.google.com/spreadsheets/d/1XL5vhW3sbDhbH9Cz0tuDiY8C3ctxq1tqvaCgkFb8cCA/edit?usp=sharing"",""กาฬสินธุ์!J175"")"),0)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IFERROR(__xludf.DUMMYFUNCTION("IMPORTRANGE(""https://docs.google.com/spreadsheets/d/1XL5vhW3sbDhbH9Cz0tuDiY8C3ctxq1tqvaCgkFb8cCA/edit?usp=sharing"",""กาฬสินธุ์!J176"")"),1)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IFERROR(__xludf.DUMMYFUNCTION("IMPORTRANGE(""https://docs.google.com/spreadsheets/d/1XL5vhW3sbDhbH9Cz0tuDiY8C3ctxq1tqvaCgkFb8cCA/edit?usp=sharing"",""กาฬสินธุ์!J177"")"),1)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IFERROR(__xludf.DUMMYFUNCTION("IMPORTRANGE(""https://docs.google.com/spreadsheets/d/1XL5vhW3sbDhbH9Cz0tuDiY8C3ctxq1tqvaCgkFb8cCA/edit?usp=sharing"",""กาฬสินธุ์!J178"")"),1)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IFERROR(__xludf.DUMMYFUNCTION("IMPORTRANGE(""https://docs.google.com/spreadsheets/d/1XL5vhW3sbDhbH9Cz0tuDiY8C3ctxq1tqvaCgkFb8cCA/edit?usp=sharing"",""กาฬสินธุ์!I179"")"),1)</f>
        <v>1</v>
      </c>
      <c r="J264" s="189">
        <f ca="1">IFERROR(__xludf.DUMMYFUNCTION("IMPORTRANGE(""https://docs.google.com/spreadsheets/d/1XL5vhW3sbDhbH9Cz0tuDiY8C3ctxq1tqvaCgkFb8cCA/edit?usp=sharing"",""กาฬสินธุ์!J179"")"),0)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IFERROR(__xludf.DUMMYFUNCTION("IMPORTRANGE(""https://docs.google.com/spreadsheets/d/1XL5vhW3sbDhbH9Cz0tuDiY8C3ctxq1tqvaCgkFb8cCA/edit?usp=sharing"",""กาฬสินธุ์!I180"")"),20)</f>
        <v>20</v>
      </c>
      <c r="J265" s="189">
        <f ca="1">IFERROR(__xludf.DUMMYFUNCTION("IMPORTRANGE(""https://docs.google.com/spreadsheets/d/1XL5vhW3sbDhbH9Cz0tuDiY8C3ctxq1tqvaCgkFb8cCA/edit?usp=sharing"",""กาฬสินธุ์!J180"")"),20)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IFERROR(__xludf.DUMMYFUNCTION("IMPORTRANGE(""https://docs.google.com/spreadsheets/d/1XL5vhW3sbDhbH9Cz0tuDiY8C3ctxq1tqvaCgkFb8cCA/edit?usp=sharing"",""กาฬสินธุ์!I181"")"),20)</f>
        <v>20</v>
      </c>
      <c r="J266" s="189">
        <f ca="1">IFERROR(__xludf.DUMMYFUNCTION("IMPORTRANGE(""https://docs.google.com/spreadsheets/d/1XL5vhW3sbDhbH9Cz0tuDiY8C3ctxq1tqvaCgkFb8cCA/edit?usp=sharing"",""กาฬสินธุ์!J181"")"),0)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IFERROR(__xludf.DUMMYFUNCTION("IMPORTRANGE(""https://docs.google.com/spreadsheets/d/1XL5vhW3sbDhbH9Cz0tuDiY8C3ctxq1tqvaCgkFb8cCA/edit?usp=sharing"",""กาฬสินธุ์!I182"")"),1)</f>
        <v>1</v>
      </c>
      <c r="J267" s="189">
        <f ca="1">IFERROR(__xludf.DUMMYFUNCTION("IMPORTRANGE(""https://docs.google.com/spreadsheets/d/1XL5vhW3sbDhbH9Cz0tuDiY8C3ctxq1tqvaCgkFb8cCA/edit?usp=sharing"",""กาฬสินธุ์!J182"")"),1)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IFERROR(__xludf.DUMMYFUNCTION("IMPORTRANGE(""https://docs.google.com/spreadsheets/d/1XL5vhW3sbDhbH9Cz0tuDiY8C3ctxq1tqvaCgkFb8cCA/edit?usp=sharing"",""กาฬสินธุ์!J183"")"),0)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IFERROR(__xludf.DUMMYFUNCTION("IMPORTRANGE(""https://docs.google.com/spreadsheets/d/1XL5vhW3sbDhbH9Cz0tuDiY8C3ctxq1tqvaCgkFb8cCA/edit?usp=sharing"",""กาฬสินธุ์!J184"")"),0)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IFERROR(__xludf.DUMMYFUNCTION("IMPORTRANGE(""https://docs.google.com/spreadsheets/d/1XL5vhW3sbDhbH9Cz0tuDiY8C3ctxq1tqvaCgkFb8cCA/edit?usp=sharing"",""กาฬสินธุ์!I185"")"),20)</f>
        <v>20</v>
      </c>
      <c r="J270" s="316">
        <f ca="1">IFERROR(__xludf.DUMMYFUNCTION("IMPORTRANGE(""https://docs.google.com/spreadsheets/d/1XL5vhW3sbDhbH9Cz0tuDiY8C3ctxq1tqvaCgkFb8cCA/edit?usp=sharing"",""กาฬสินธุ์!J185"")"),20)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54" t="s">
        <v>17</v>
      </c>
      <c r="E271" s="555"/>
      <c r="F271" s="555"/>
      <c r="G271" s="555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161600</v>
      </c>
      <c r="N271" s="152">
        <f t="shared" ca="1" si="83"/>
        <v>64992</v>
      </c>
      <c r="O271" s="151">
        <f t="shared" ref="O271:O273" ca="1" si="84">IF(L271&gt;0,N271*100/L271,0)</f>
        <v>35.398692810457518</v>
      </c>
      <c r="P271" s="151">
        <f t="shared" ref="P271:P273" ca="1" si="85">IF(M271&gt;0,N271*100/M271,0)</f>
        <v>40.21782178217822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183600</v>
      </c>
      <c r="M273" s="157">
        <f t="shared" ca="1" si="87"/>
        <v>161600</v>
      </c>
      <c r="N273" s="157">
        <f t="shared" ca="1" si="87"/>
        <v>64992</v>
      </c>
      <c r="O273" s="156">
        <f t="shared" ca="1" si="84"/>
        <v>35.398692810457518</v>
      </c>
      <c r="P273" s="156">
        <f t="shared" ca="1" si="85"/>
        <v>40.21782178217822</v>
      </c>
    </row>
    <row r="274" spans="1:16" ht="21.75" customHeight="1" x14ac:dyDescent="0.45">
      <c r="A274" s="158"/>
      <c r="B274" s="159"/>
      <c r="C274" s="159" t="s">
        <v>16</v>
      </c>
      <c r="D274" s="552" t="s">
        <v>20</v>
      </c>
      <c r="E274" s="553"/>
      <c r="F274" s="55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183600</v>
      </c>
      <c r="M275" s="168">
        <f ca="1">IFERROR(__xludf.DUMMYFUNCTION("IMPORTRANGE(""https://docs.google.com/spreadsheets/d/1Yj_ptqi66GCucihVvJfMjLAmec39IyEx_6qawtMGysU/edit?usp=sharing"",""สบก!CK38"")"),161600)</f>
        <v>161600</v>
      </c>
      <c r="N275" s="169">
        <f ca="1">IFERROR(__xludf.DUMMYFUNCTION("IMPORTRANGE(""https://docs.google.com/spreadsheets/d/1Yj_ptqi66GCucihVvJfMjLAmec39IyEx_6qawtMGysU/edit?usp=sharing"",""สบก!CL38"")"),64992)</f>
        <v>64992</v>
      </c>
      <c r="O275" s="169">
        <f ca="1">IF(L275&gt;0,N275*100/L275,0)</f>
        <v>35.398692810457518</v>
      </c>
      <c r="P275" s="169">
        <f ca="1">IF(M275&gt;0,N275*100/M275,0)</f>
        <v>40.21782178217822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IFERROR(__xludf.DUMMYFUNCTION("IMPORTRANGE(""https://docs.google.com/spreadsheets/d/1Yj_ptqi66GCucihVvJfMjLAmec39IyEx_6qawtMGysU/edit?usp=sharing"",""สบก!CG38"")"),0)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IFERROR(__xludf.DUMMYFUNCTION("IMPORTRANGE(""https://docs.google.com/spreadsheets/d/1Yj_ptqi66GCucihVvJfMjLAmec39IyEx_6qawtMGysU/edit?usp=sharing"",""สบก!CH38"")"),183600)</f>
        <v>183600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52" t="s">
        <v>23</v>
      </c>
      <c r="E278" s="55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IFERROR(__xludf.DUMMYFUNCTION("IMPORTRANGE(""https://docs.google.com/spreadsheets/d/1Yj_ptqi66GCucihVvJfMjLAmec39IyEx_6qawtMGysU/edit?usp=sharing"",""สบก!CI38"")"),0)</f>
        <v>0</v>
      </c>
      <c r="M279" s="49"/>
      <c r="N279" s="49">
        <f ca="1">IFERROR(__xludf.DUMMYFUNCTION("IMPORTRANGE(""https://docs.google.com/spreadsheets/d/1Yj_ptqi66GCucihVvJfMjLAmec39IyEx_6qawtMGysU/edit?usp=sharing"",""สบก!CM38"")"),0)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IFERROR(__xludf.DUMMYFUNCTION("IMPORTRANGE(""https://docs.google.com/spreadsheets/d/1XL5vhW3sbDhbH9Cz0tuDiY8C3ctxq1tqvaCgkFb8cCA/edit?usp=sharing"",""กาฬสินธุ์!J191"")"),0)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IFERROR(__xludf.DUMMYFUNCTION("IMPORTRANGE(""https://docs.google.com/spreadsheets/d/1XL5vhW3sbDhbH9Cz0tuDiY8C3ctxq1tqvaCgkFb8cCA/edit?usp=sharing"",""กาฬสินธุ์!J192"")"),1)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IFERROR(__xludf.DUMMYFUNCTION("IMPORTRANGE(""https://docs.google.com/spreadsheets/d/1XL5vhW3sbDhbH9Cz0tuDiY8C3ctxq1tqvaCgkFb8cCA/edit?usp=sharing"",""กาฬสินธุ์!J193"")"),1)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IFERROR(__xludf.DUMMYFUNCTION("IMPORTRANGE(""https://docs.google.com/spreadsheets/d/1XL5vhW3sbDhbH9Cz0tuDiY8C3ctxq1tqvaCgkFb8cCA/edit?usp=sharing"",""กาฬสินธุ์!J194"")"),1)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IFERROR(__xludf.DUMMYFUNCTION("IMPORTRANGE(""https://docs.google.com/spreadsheets/d/1XL5vhW3sbDhbH9Cz0tuDiY8C3ctxq1tqvaCgkFb8cCA/edit?usp=sharing"",""กาฬสินธุ์!I195"")"),20)</f>
        <v>20</v>
      </c>
      <c r="J285" s="189">
        <f ca="1">IFERROR(__xludf.DUMMYFUNCTION("IMPORTRANGE(""https://docs.google.com/spreadsheets/d/1XL5vhW3sbDhbH9Cz0tuDiY8C3ctxq1tqvaCgkFb8cCA/edit?usp=sharing"",""กาฬสินธุ์!J195"")"),20)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IFERROR(__xludf.DUMMYFUNCTION("IMPORTRANGE(""https://docs.google.com/spreadsheets/d/1XL5vhW3sbDhbH9Cz0tuDiY8C3ctxq1tqvaCgkFb8cCA/edit?usp=sharing"",""กาฬสินธุ์!J196"")"),0)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IFERROR(__xludf.DUMMYFUNCTION("IMPORTRANGE(""https://docs.google.com/spreadsheets/d/1XL5vhW3sbDhbH9Cz0tuDiY8C3ctxq1tqvaCgkFb8cCA/edit?usp=sharing"",""กาฬสินธุ์!J197"")"),0)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IFERROR(__xludf.DUMMYFUNCTION("IMPORTRANGE(""https://docs.google.com/spreadsheets/d/1XL5vhW3sbDhbH9Cz0tuDiY8C3ctxq1tqvaCgkFb8cCA/edit?usp=sharing"",""กาฬสินธุ์!I199"")"),15)</f>
        <v>15</v>
      </c>
      <c r="J289" s="316">
        <f ca="1">IFERROR(__xludf.DUMMYFUNCTION("IMPORTRANGE(""https://docs.google.com/spreadsheets/d/1XL5vhW3sbDhbH9Cz0tuDiY8C3ctxq1tqvaCgkFb8cCA/edit?usp=sharing"",""กาฬสินธุ์!J199"")"),0)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54" t="s">
        <v>17</v>
      </c>
      <c r="E290" s="555"/>
      <c r="F290" s="555"/>
      <c r="G290" s="555"/>
      <c r="H290" s="149" t="s">
        <v>12</v>
      </c>
      <c r="I290" s="188"/>
      <c r="J290" s="188"/>
      <c r="K290" s="224"/>
      <c r="L290" s="152">
        <f t="shared" ref="L290:N290" ca="1" si="88">L291+L292</f>
        <v>72260</v>
      </c>
      <c r="M290" s="152">
        <f t="shared" ca="1" si="88"/>
        <v>72260</v>
      </c>
      <c r="N290" s="152">
        <f t="shared" ca="1" si="88"/>
        <v>15310</v>
      </c>
      <c r="O290" s="151">
        <f t="shared" ref="O290:O292" ca="1" si="89">IF(L290&gt;0,N290*100/L290,0)</f>
        <v>21.187378909493496</v>
      </c>
      <c r="P290" s="151">
        <f t="shared" ref="P290:P292" ca="1" si="90">IF(M290&gt;0,N290*100/M290,0)</f>
        <v>21.187378909493496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72260</v>
      </c>
      <c r="M292" s="157">
        <f t="shared" ca="1" si="92"/>
        <v>72260</v>
      </c>
      <c r="N292" s="157">
        <f t="shared" ca="1" si="92"/>
        <v>15310</v>
      </c>
      <c r="O292" s="156">
        <f t="shared" ca="1" si="89"/>
        <v>21.187378909493496</v>
      </c>
      <c r="P292" s="156">
        <f t="shared" ca="1" si="90"/>
        <v>21.187378909493496</v>
      </c>
    </row>
    <row r="293" spans="1:16" ht="21.75" customHeight="1" x14ac:dyDescent="0.45">
      <c r="A293" s="158"/>
      <c r="B293" s="159"/>
      <c r="C293" s="159" t="s">
        <v>16</v>
      </c>
      <c r="D293" s="552" t="s">
        <v>20</v>
      </c>
      <c r="E293" s="553"/>
      <c r="F293" s="55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72260</v>
      </c>
      <c r="M294" s="168">
        <f ca="1">IFERROR(__xludf.DUMMYFUNCTION("IMPORTRANGE(""https://docs.google.com/spreadsheets/d/1Yj_ptqi66GCucihVvJfMjLAmec39IyEx_6qawtMGysU/edit?usp=sharing"",""สบก!CT38"")"),72260)</f>
        <v>72260</v>
      </c>
      <c r="N294" s="169">
        <f ca="1">IFERROR(__xludf.DUMMYFUNCTION("IMPORTRANGE(""https://docs.google.com/spreadsheets/d/1Yj_ptqi66GCucihVvJfMjLAmec39IyEx_6qawtMGysU/edit?usp=sharing"",""สบก!CU38"")"),15310)</f>
        <v>15310</v>
      </c>
      <c r="O294" s="169">
        <f ca="1">IF(L294&gt;0,N294*100/L294,0)</f>
        <v>21.187378909493496</v>
      </c>
      <c r="P294" s="169">
        <f ca="1">IF(M294&gt;0,N294*100/M294,0)</f>
        <v>21.187378909493496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IFERROR(__xludf.DUMMYFUNCTION("IMPORTRANGE(""https://docs.google.com/spreadsheets/d/1Yj_ptqi66GCucihVvJfMjLAmec39IyEx_6qawtMGysU/edit?usp=sharing"",""สบก!CP38"")"),0)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IFERROR(__xludf.DUMMYFUNCTION("IMPORTRANGE(""https://docs.google.com/spreadsheets/d/1Yj_ptqi66GCucihVvJfMjLAmec39IyEx_6qawtMGysU/edit?usp=sharing"",""สบก!CQ38"")"),72260)</f>
        <v>72260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52" t="s">
        <v>23</v>
      </c>
      <c r="E297" s="55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IFERROR(__xludf.DUMMYFUNCTION("IMPORTRANGE(""https://docs.google.com/spreadsheets/d/1Yj_ptqi66GCucihVvJfMjLAmec39IyEx_6qawtMGysU/edit?usp=sharing"",""สบก!CR38"")"),0)</f>
        <v>0</v>
      </c>
      <c r="M298" s="49"/>
      <c r="N298" s="49">
        <f ca="1">IFERROR(__xludf.DUMMYFUNCTION("IMPORTRANGE(""https://docs.google.com/spreadsheets/d/1Yj_ptqi66GCucihVvJfMjLAmec39IyEx_6qawtMGysU/edit?usp=sharing"",""สบก!CV38"")"),0)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IFERROR(__xludf.DUMMYFUNCTION("IMPORTRANGE(""https://docs.google.com/spreadsheets/d/1XL5vhW3sbDhbH9Cz0tuDiY8C3ctxq1tqvaCgkFb8cCA/edit?usp=sharing"",""กาฬสินธุ์!J205"")"),0)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IFERROR(__xludf.DUMMYFUNCTION("IMPORTRANGE(""https://docs.google.com/spreadsheets/d/1XL5vhW3sbDhbH9Cz0tuDiY8C3ctxq1tqvaCgkFb8cCA/edit?usp=sharing"",""กาฬสินธุ์!J206"")"),1)</f>
        <v>1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IFERROR(__xludf.DUMMYFUNCTION("IMPORTRANGE(""https://docs.google.com/spreadsheets/d/1XL5vhW3sbDhbH9Cz0tuDiY8C3ctxq1tqvaCgkFb8cCA/edit?usp=sharing"",""กาฬสินธุ์!J207"")"),1)</f>
        <v>1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IFERROR(__xludf.DUMMYFUNCTION("IMPORTRANGE(""https://docs.google.com/spreadsheets/d/1XL5vhW3sbDhbH9Cz0tuDiY8C3ctxq1tqvaCgkFb8cCA/edit?usp=sharing"",""กาฬสินธุ์!J208"")"),1)</f>
        <v>1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IFERROR(__xludf.DUMMYFUNCTION("IMPORTRANGE(""https://docs.google.com/spreadsheets/d/1XL5vhW3sbDhbH9Cz0tuDiY8C3ctxq1tqvaCgkFb8cCA/edit?usp=sharing"",""กาฬสินธุ์!I209"")"),15)</f>
        <v>15</v>
      </c>
      <c r="J304" s="204">
        <f ca="1">IFERROR(__xludf.DUMMYFUNCTION("IMPORTRANGE(""https://docs.google.com/spreadsheets/d/1XL5vhW3sbDhbH9Cz0tuDiY8C3ctxq1tqvaCgkFb8cCA/edit?usp=sharing"",""กาฬสินธุ์!J209"")"),0)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IFERROR(__xludf.DUMMYFUNCTION("IMPORTRANGE(""https://docs.google.com/spreadsheets/d/1XL5vhW3sbDhbH9Cz0tuDiY8C3ctxq1tqvaCgkFb8cCA/edit?usp=sharing"",""กาฬสินธุ์!I211"")"),15)</f>
        <v>15</v>
      </c>
      <c r="J306" s="204">
        <f ca="1">IFERROR(__xludf.DUMMYFUNCTION("IMPORTRANGE(""https://docs.google.com/spreadsheets/d/1XL5vhW3sbDhbH9Cz0tuDiY8C3ctxq1tqvaCgkFb8cCA/edit?usp=sharing"",""กาฬสินธุ์!J211"")"),0)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IFERROR(__xludf.DUMMYFUNCTION("IMPORTRANGE(""https://docs.google.com/spreadsheets/d/1XL5vhW3sbDhbH9Cz0tuDiY8C3ctxq1tqvaCgkFb8cCA/edit?usp=sharing"",""กาฬสินธุ์!J212"")"),0)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IFERROR(__xludf.DUMMYFUNCTION("IMPORTRANGE(""https://docs.google.com/spreadsheets/d/1XL5vhW3sbDhbH9Cz0tuDiY8C3ctxq1tqvaCgkFb8cCA/edit?usp=sharing"",""กาฬสินธุ์!J213"")"),0)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IFERROR(__xludf.DUMMYFUNCTION("IMPORTRANGE(""https://docs.google.com/spreadsheets/d/1XL5vhW3sbDhbH9Cz0tuDiY8C3ctxq1tqvaCgkFb8cCA/edit?usp=sharing"",""กาฬสินธุ์!I214"")"),1)</f>
        <v>1</v>
      </c>
      <c r="J309" s="333">
        <f ca="1">IFERROR(__xludf.DUMMYFUNCTION("IMPORTRANGE(""https://docs.google.com/spreadsheets/d/1XL5vhW3sbDhbH9Cz0tuDiY8C3ctxq1tqvaCgkFb8cCA/edit?usp=sharing"",""กาฬสินธุ์!J214"")"),0)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54" t="s">
        <v>17</v>
      </c>
      <c r="E310" s="555"/>
      <c r="F310" s="555"/>
      <c r="G310" s="555"/>
      <c r="H310" s="149" t="s">
        <v>12</v>
      </c>
      <c r="I310" s="336"/>
      <c r="J310" s="336"/>
      <c r="K310" s="337"/>
      <c r="L310" s="152">
        <f t="shared" ref="L310:N310" ca="1" si="93">L311+L312</f>
        <v>217600</v>
      </c>
      <c r="M310" s="152">
        <f t="shared" ca="1" si="93"/>
        <v>163200</v>
      </c>
      <c r="N310" s="152">
        <f t="shared" ca="1" si="93"/>
        <v>71565</v>
      </c>
      <c r="O310" s="151">
        <f t="shared" ref="O310:O312" ca="1" si="94">IF(L310&gt;0,N310*100/L310,0)</f>
        <v>32.888327205882355</v>
      </c>
      <c r="P310" s="151">
        <f t="shared" ref="P310:P312" ca="1" si="95">IF(M310&gt;0,N310*100/M310,0)</f>
        <v>43.851102941176471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217600</v>
      </c>
      <c r="M312" s="157">
        <f t="shared" ca="1" si="97"/>
        <v>163200</v>
      </c>
      <c r="N312" s="157">
        <f t="shared" ca="1" si="97"/>
        <v>71565</v>
      </c>
      <c r="O312" s="156">
        <f t="shared" ca="1" si="94"/>
        <v>32.888327205882355</v>
      </c>
      <c r="P312" s="156">
        <f t="shared" ca="1" si="95"/>
        <v>43.851102941176471</v>
      </c>
    </row>
    <row r="313" spans="1:16" ht="21.75" customHeight="1" x14ac:dyDescent="0.45">
      <c r="A313" s="158"/>
      <c r="B313" s="159"/>
      <c r="C313" s="159" t="s">
        <v>16</v>
      </c>
      <c r="D313" s="552" t="s">
        <v>20</v>
      </c>
      <c r="E313" s="553"/>
      <c r="F313" s="55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217600</v>
      </c>
      <c r="M314" s="168">
        <f ca="1">IFERROR(__xludf.DUMMYFUNCTION("IMPORTRANGE(""https://docs.google.com/spreadsheets/d/1Yj_ptqi66GCucihVvJfMjLAmec39IyEx_6qawtMGysU/edit?usp=sharing"",""สบก!DC38"")"),163200)</f>
        <v>163200</v>
      </c>
      <c r="N314" s="169">
        <f ca="1">IFERROR(__xludf.DUMMYFUNCTION("IMPORTRANGE(""https://docs.google.com/spreadsheets/d/1Yj_ptqi66GCucihVvJfMjLAmec39IyEx_6qawtMGysU/edit?usp=sharing"",""สบก!DD38"")"),71565)</f>
        <v>71565</v>
      </c>
      <c r="O314" s="169">
        <f ca="1">IF(L314&gt;0,N314*100/L314,0)</f>
        <v>32.888327205882355</v>
      </c>
      <c r="P314" s="169">
        <f ca="1">IF(M314&gt;0,N314*100/M314,0)</f>
        <v>43.851102941176471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IFERROR(__xludf.DUMMYFUNCTION("IMPORTRANGE(""https://docs.google.com/spreadsheets/d/1Yj_ptqi66GCucihVvJfMjLAmec39IyEx_6qawtMGysU/edit?usp=sharing"",""สบก!CY38"")"),0)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IFERROR(__xludf.DUMMYFUNCTION("IMPORTRANGE(""https://docs.google.com/spreadsheets/d/1Yj_ptqi66GCucihVvJfMjLAmec39IyEx_6qawtMGysU/edit?usp=sharing"",""สบก!CZ38"")"),217600)</f>
        <v>217600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52" t="s">
        <v>23</v>
      </c>
      <c r="E317" s="55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IFERROR(__xludf.DUMMYFUNCTION("IMPORTRANGE(""https://docs.google.com/spreadsheets/d/1Yj_ptqi66GCucihVvJfMjLAmec39IyEx_6qawtMGysU/edit?usp=sharing"",""สบก!DA38"")"),0)</f>
        <v>0</v>
      </c>
      <c r="M318" s="49"/>
      <c r="N318" s="49">
        <f ca="1">IFERROR(__xludf.DUMMYFUNCTION("IMPORTRANGE(""https://docs.google.com/spreadsheets/d/1Yj_ptqi66GCucihVvJfMjLAmec39IyEx_6qawtMGysU/edit?usp=sharing"",""สบก!DE38"")"),0)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IFERROR(__xludf.DUMMYFUNCTION("IMPORTRANGE(""https://docs.google.com/spreadsheets/d/1XL5vhW3sbDhbH9Cz0tuDiY8C3ctxq1tqvaCgkFb8cCA/edit?usp=sharing"",""กาฬสินธุ์!J220"")"),0)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IFERROR(__xludf.DUMMYFUNCTION("IMPORTRANGE(""https://docs.google.com/spreadsheets/d/1XL5vhW3sbDhbH9Cz0tuDiY8C3ctxq1tqvaCgkFb8cCA/edit?usp=sharing"",""กาฬสินธุ์!J221"")"),1)</f>
        <v>1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IFERROR(__xludf.DUMMYFUNCTION("IMPORTRANGE(""https://docs.google.com/spreadsheets/d/1XL5vhW3sbDhbH9Cz0tuDiY8C3ctxq1tqvaCgkFb8cCA/edit?usp=sharing"",""กาฬสินธุ์!J222"")"),1)</f>
        <v>1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IFERROR(__xludf.DUMMYFUNCTION("IMPORTRANGE(""https://docs.google.com/spreadsheets/d/1XL5vhW3sbDhbH9Cz0tuDiY8C3ctxq1tqvaCgkFb8cCA/edit?usp=sharing"",""กาฬสินธุ์!J223"")"),1)</f>
        <v>1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IFERROR(__xludf.DUMMYFUNCTION("IMPORTRANGE(""https://docs.google.com/spreadsheets/d/1XL5vhW3sbDhbH9Cz0tuDiY8C3ctxq1tqvaCgkFb8cCA/edit?usp=sharing"",""กาฬสินธุ์!I224"")"),1)</f>
        <v>1</v>
      </c>
      <c r="J324" s="204">
        <f ca="1">IFERROR(__xludf.DUMMYFUNCTION("IMPORTRANGE(""https://docs.google.com/spreadsheets/d/1XL5vhW3sbDhbH9Cz0tuDiY8C3ctxq1tqvaCgkFb8cCA/edit?usp=sharing"",""กาฬสินธุ์!J224"")"),0)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IFERROR(__xludf.DUMMYFUNCTION("IMPORTRANGE(""https://docs.google.com/spreadsheets/d/1XL5vhW3sbDhbH9Cz0tuDiY8C3ctxq1tqvaCgkFb8cCA/edit?usp=sharing"",""กาฬสินธุ์!J225"")"),0)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IFERROR(__xludf.DUMMYFUNCTION("IMPORTRANGE(""https://docs.google.com/spreadsheets/d/1XL5vhW3sbDhbH9Cz0tuDiY8C3ctxq1tqvaCgkFb8cCA/edit?usp=sharing"",""กาฬสินธุ์!J226"")"),0)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IFERROR(__xludf.DUMMYFUNCTION("IMPORTRANGE(""https://docs.google.com/spreadsheets/d/1XL5vhW3sbDhbH9Cz0tuDiY8C3ctxq1tqvaCgkFb8cCA/edit?usp=sharing"",""กาฬสินธุ์!I228"")"),345)</f>
        <v>345</v>
      </c>
      <c r="J328" s="339">
        <f ca="1">IFERROR(__xludf.DUMMYFUNCTION("IMPORTRANGE(""https://docs.google.com/spreadsheets/d/1XL5vhW3sbDhbH9Cz0tuDiY8C3ctxq1tqvaCgkFb8cCA/edit?usp=sharing"",""กาฬสินธุ์!J228"")"),3)</f>
        <v>3</v>
      </c>
      <c r="K328" s="317">
        <f ca="1">IF(I328&gt;0,J328*100/I328,0)</f>
        <v>0.86956521739130432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54" t="s">
        <v>17</v>
      </c>
      <c r="E329" s="555"/>
      <c r="F329" s="555"/>
      <c r="G329" s="555"/>
      <c r="H329" s="149" t="s">
        <v>12</v>
      </c>
      <c r="I329" s="162"/>
      <c r="J329" s="162"/>
      <c r="K329" s="163"/>
      <c r="L329" s="152">
        <f t="shared" ref="L329:N329" ca="1" si="98">L330+L331</f>
        <v>1108090</v>
      </c>
      <c r="M329" s="152">
        <f t="shared" ca="1" si="98"/>
        <v>810110</v>
      </c>
      <c r="N329" s="152">
        <f t="shared" ca="1" si="98"/>
        <v>552141.04</v>
      </c>
      <c r="O329" s="151">
        <f t="shared" ref="O329:O331" ca="1" si="99">IF(L329&gt;0,N329*100/L329,0)</f>
        <v>49.828176411663314</v>
      </c>
      <c r="P329" s="151">
        <f t="shared" ref="P329:P331" ca="1" si="100">IF(M329&gt;0,N329*100/M329,0)</f>
        <v>68.156304699361812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1108090</v>
      </c>
      <c r="M331" s="157">
        <f t="shared" ca="1" si="102"/>
        <v>810110</v>
      </c>
      <c r="N331" s="157">
        <f t="shared" ca="1" si="102"/>
        <v>552141.04</v>
      </c>
      <c r="O331" s="156">
        <f t="shared" ca="1" si="99"/>
        <v>49.828176411663314</v>
      </c>
      <c r="P331" s="156">
        <f t="shared" ca="1" si="100"/>
        <v>68.156304699361812</v>
      </c>
    </row>
    <row r="332" spans="1:16" ht="21.75" customHeight="1" x14ac:dyDescent="0.45">
      <c r="A332" s="158"/>
      <c r="B332" s="159"/>
      <c r="C332" s="159" t="s">
        <v>16</v>
      </c>
      <c r="D332" s="552" t="s">
        <v>20</v>
      </c>
      <c r="E332" s="553"/>
      <c r="F332" s="55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1070290</v>
      </c>
      <c r="M333" s="168">
        <f ca="1">IFERROR(__xludf.DUMMYFUNCTION("IMPORTRANGE(""https://docs.google.com/spreadsheets/d/1Yj_ptqi66GCucihVvJfMjLAmec39IyEx_6qawtMGysU/edit?usp=sharing"",""สบก!DL38"")"),772310)</f>
        <v>772310</v>
      </c>
      <c r="N333" s="169">
        <f ca="1">IFERROR(__xludf.DUMMYFUNCTION("IMPORTRANGE(""https://docs.google.com/spreadsheets/d/1Yj_ptqi66GCucihVvJfMjLAmec39IyEx_6qawtMGysU/edit?usp=sharing"",""สบก!DM38"")"),514341.04)</f>
        <v>514341.04</v>
      </c>
      <c r="O333" s="169">
        <f ca="1">IF(L333&gt;0,N333*100/L333,0)</f>
        <v>48.05623148866195</v>
      </c>
      <c r="P333" s="169">
        <f ca="1">IF(M333&gt;0,N333*100/M333,0)</f>
        <v>66.597744429050508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IFERROR(__xludf.DUMMYFUNCTION("IMPORTRANGE(""https://docs.google.com/spreadsheets/d/1Yj_ptqi66GCucihVvJfMjLAmec39IyEx_6qawtMGysU/edit?usp=sharing"",""สบก!DH38"")"),611400)</f>
        <v>611400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IFERROR(__xludf.DUMMYFUNCTION("IMPORTRANGE(""https://docs.google.com/spreadsheets/d/1Yj_ptqi66GCucihVvJfMjLAmec39IyEx_6qawtMGysU/edit?usp=sharing"",""สบก!DI38"")"),458890)</f>
        <v>458890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52" t="s">
        <v>23</v>
      </c>
      <c r="E336" s="55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IFERROR(__xludf.DUMMYFUNCTION("IMPORTRANGE(""https://docs.google.com/spreadsheets/d/1Yj_ptqi66GCucihVvJfMjLAmec39IyEx_6qawtMGysU/edit?usp=sharing"",""สบก!DJ38"")"),37800)</f>
        <v>37800</v>
      </c>
      <c r="M337" s="49">
        <f ca="1">L337</f>
        <v>37800</v>
      </c>
      <c r="N337" s="49">
        <f ca="1">IFERROR(__xludf.DUMMYFUNCTION("IMPORTRANGE(""https://docs.google.com/spreadsheets/d/1Yj_ptqi66GCucihVvJfMjLAmec39IyEx_6qawtMGysU/edit?usp=sharing"",""สบก!DN38"")"),37800)</f>
        <v>37800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IFERROR(__xludf.DUMMYFUNCTION("IMPORTRANGE(""https://docs.google.com/spreadsheets/d/1XL5vhW3sbDhbH9Cz0tuDiY8C3ctxq1tqvaCgkFb8cCA/edit?usp=sharing"",""กาฬสินธุ์!I234"")"),0)</f>
        <v>0</v>
      </c>
      <c r="J339" s="188">
        <f ca="1">IFERROR(__xludf.DUMMYFUNCTION("IMPORTRANGE(""https://docs.google.com/spreadsheets/d/1XL5vhW3sbDhbH9Cz0tuDiY8C3ctxq1tqvaCgkFb8cCA/edit?usp=sharing"",""กาฬสินธุ์!J234"")"),301)</f>
        <v>301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IFERROR(__xludf.DUMMYFUNCTION("IMPORTRANGE(""https://docs.google.com/spreadsheets/d/1XL5vhW3sbDhbH9Cz0tuDiY8C3ctxq1tqvaCgkFb8cCA/edit?usp=sharing"",""กาฬสินธุ์!I235"")"),2740)</f>
        <v>2740</v>
      </c>
      <c r="J340" s="188">
        <f ca="1">IFERROR(__xludf.DUMMYFUNCTION("IMPORTRANGE(""https://docs.google.com/spreadsheets/d/1XL5vhW3sbDhbH9Cz0tuDiY8C3ctxq1tqvaCgkFb8cCA/edit?usp=sharing"",""กาฬสินธุ์!J235"")"),2478.08)</f>
        <v>2478.08</v>
      </c>
      <c r="K340" s="342">
        <f t="shared" ca="1" si="103"/>
        <v>90.440875912408757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IFERROR(__xludf.DUMMYFUNCTION("IMPORTRANGE(""https://docs.google.com/spreadsheets/d/1XL5vhW3sbDhbH9Cz0tuDiY8C3ctxq1tqvaCgkFb8cCA/edit?usp=sharing"",""กาฬสินธุ์!I236"")"),345)</f>
        <v>345</v>
      </c>
      <c r="J341" s="188">
        <f ca="1">IFERROR(__xludf.DUMMYFUNCTION("IMPORTRANGE(""https://docs.google.com/spreadsheets/d/1XL5vhW3sbDhbH9Cz0tuDiY8C3ctxq1tqvaCgkFb8cCA/edit?usp=sharing"",""กาฬสินธุ์!J236"")"),253)</f>
        <v>253</v>
      </c>
      <c r="K341" s="342">
        <f t="shared" ca="1" si="103"/>
        <v>73.333333333333329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IFERROR(__xludf.DUMMYFUNCTION("IMPORTRANGE(""https://docs.google.com/spreadsheets/d/1XL5vhW3sbDhbH9Cz0tuDiY8C3ctxq1tqvaCgkFb8cCA/edit?usp=sharing"",""กาฬสินธุ์!I237"")"),0)</f>
        <v>0</v>
      </c>
      <c r="J342" s="188">
        <f ca="1">IFERROR(__xludf.DUMMYFUNCTION("IMPORTRANGE(""https://docs.google.com/spreadsheets/d/1XL5vhW3sbDhbH9Cz0tuDiY8C3ctxq1tqvaCgkFb8cCA/edit?usp=sharing"",""กาฬสินธุ์!J237"")"),2234.72)</f>
        <v>2234.7199999999998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IFERROR(__xludf.DUMMYFUNCTION("IMPORTRANGE(""https://docs.google.com/spreadsheets/d/1XL5vhW3sbDhbH9Cz0tuDiY8C3ctxq1tqvaCgkFb8cCA/edit?usp=sharing"",""กาฬสินธุ์!I238"")"),345)</f>
        <v>345</v>
      </c>
      <c r="J343" s="188">
        <f ca="1">IFERROR(__xludf.DUMMYFUNCTION("IMPORTRANGE(""https://docs.google.com/spreadsheets/d/1XL5vhW3sbDhbH9Cz0tuDiY8C3ctxq1tqvaCgkFb8cCA/edit?usp=sharing"",""กาฬสินธุ์!J238"")"),0)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IFERROR(__xludf.DUMMYFUNCTION("IMPORTRANGE(""https://docs.google.com/spreadsheets/d/1XL5vhW3sbDhbH9Cz0tuDiY8C3ctxq1tqvaCgkFb8cCA/edit?usp=sharing"",""กาฬสินธุ์!I239"")"),0)</f>
        <v>0</v>
      </c>
      <c r="J344" s="188">
        <f ca="1">IFERROR(__xludf.DUMMYFUNCTION("IMPORTRANGE(""https://docs.google.com/spreadsheets/d/1XL5vhW3sbDhbH9Cz0tuDiY8C3ctxq1tqvaCgkFb8cCA/edit?usp=sharing"",""กาฬสินธุ์!J239"")"),0)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IFERROR(__xludf.DUMMYFUNCTION("IMPORTRANGE(""https://docs.google.com/spreadsheets/d/1XL5vhW3sbDhbH9Cz0tuDiY8C3ctxq1tqvaCgkFb8cCA/edit?usp=sharing"",""กาฬสินธุ์!I240"")"),345)</f>
        <v>345</v>
      </c>
      <c r="J345" s="188">
        <f ca="1">IFERROR(__xludf.DUMMYFUNCTION("IMPORTRANGE(""https://docs.google.com/spreadsheets/d/1XL5vhW3sbDhbH9Cz0tuDiY8C3ctxq1tqvaCgkFb8cCA/edit?usp=sharing"",""กาฬสินธุ์!J240"")"),3)</f>
        <v>3</v>
      </c>
      <c r="K345" s="342">
        <f t="shared" ca="1" si="103"/>
        <v>0.86956521739130432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IFERROR(__xludf.DUMMYFUNCTION("IMPORTRANGE(""https://docs.google.com/spreadsheets/d/1XL5vhW3sbDhbH9Cz0tuDiY8C3ctxq1tqvaCgkFb8cCA/edit?usp=sharing"",""กาฬสินธุ์!I241"")"),0)</f>
        <v>0</v>
      </c>
      <c r="J346" s="188">
        <f ca="1">IFERROR(__xludf.DUMMYFUNCTION("IMPORTRANGE(""https://docs.google.com/spreadsheets/d/1XL5vhW3sbDhbH9Cz0tuDiY8C3ctxq1tqvaCgkFb8cCA/edit?usp=sharing"",""กาฬสินธุ์!J241"")"),79.22)</f>
        <v>79.22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IFERROR(__xludf.DUMMYFUNCTION("IMPORTRANGE(""https://docs.google.com/spreadsheets/d/1XL5vhW3sbDhbH9Cz0tuDiY8C3ctxq1tqvaCgkFb8cCA/edit?usp=sharing"",""กาฬสินธุ์!L242"")"),2444540)</f>
        <v>2444540</v>
      </c>
      <c r="M347" s="358"/>
      <c r="N347" s="358">
        <f ca="1">IFERROR(__xludf.DUMMYFUNCTION("IMPORTRANGE(""https://docs.google.com/spreadsheets/d/1XL5vhW3sbDhbH9Cz0tuDiY8C3ctxq1tqvaCgkFb8cCA/edit?usp=sharing"",""กาฬสินธุ์!M242"")"),710415)</f>
        <v>710415</v>
      </c>
      <c r="O347" s="358">
        <f ca="1">+IF(L347&gt;0,N347*100/L347,0)</f>
        <v>29.061295785710193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IFERROR(__xludf.DUMMYFUNCTION("IMPORTRANGE(""https://docs.google.com/spreadsheets/d/1XL5vhW3sbDhbH9Cz0tuDiY8C3ctxq1tqvaCgkFb8cCA/edit?usp=sharing"",""กาฬสินธุ์!I244"")"),300)</f>
        <v>300</v>
      </c>
      <c r="J349" s="371">
        <f ca="1">IFERROR(__xludf.DUMMYFUNCTION("IMPORTRANGE(""https://docs.google.com/spreadsheets/d/1XL5vhW3sbDhbH9Cz0tuDiY8C3ctxq1tqvaCgkFb8cCA/edit?usp=sharing"",""กาฬสินธุ์!J244"")"),0)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IFERROR(__xludf.DUMMYFUNCTION("IMPORTRANGE(""https://docs.google.com/spreadsheets/d/1XL5vhW3sbDhbH9Cz0tuDiY8C3ctxq1tqvaCgkFb8cCA/edit?usp=sharing"",""กาฬสินธุ์!L244"")"),576480)</f>
        <v>576480</v>
      </c>
      <c r="M349" s="373"/>
      <c r="N349" s="373">
        <f ca="1">IFERROR(__xludf.DUMMYFUNCTION("IMPORTRANGE(""https://docs.google.com/spreadsheets/d/1XL5vhW3sbDhbH9Cz0tuDiY8C3ctxq1tqvaCgkFb8cCA/edit?usp=sharing"",""กาฬสินธุ์!M244"")"),139338)</f>
        <v>139338</v>
      </c>
      <c r="O349" s="373">
        <f ca="1">+IF(L349&gt;0,N349*100/L349,0)</f>
        <v>24.170482930890923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IFERROR(__xludf.DUMMYFUNCTION("IMPORTRANGE(""https://docs.google.com/spreadsheets/d/1XL5vhW3sbDhbH9Cz0tuDiY8C3ctxq1tqvaCgkFb8cCA/edit?usp=sharing"",""กาฬสินธุ์!I245"")"),60)</f>
        <v>60</v>
      </c>
      <c r="J350" s="371">
        <f ca="1">IFERROR(__xludf.DUMMYFUNCTION("IMPORTRANGE(""https://docs.google.com/spreadsheets/d/1XL5vhW3sbDhbH9Cz0tuDiY8C3ctxq1tqvaCgkFb8cCA/edit?usp=sharing"",""กาฬสินธุ์!J245"")"),0)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IFERROR(__xludf.DUMMYFUNCTION("IMPORTRANGE(""https://docs.google.com/spreadsheets/d/1XL5vhW3sbDhbH9Cz0tuDiY8C3ctxq1tqvaCgkFb8cCA/edit?usp=sharing"",""กาฬสินธุ์!L246"")"),0)</f>
        <v>0</v>
      </c>
      <c r="M351" s="164"/>
      <c r="N351" s="164">
        <f ca="1">IFERROR(__xludf.DUMMYFUNCTION("IMPORTRANGE(""https://docs.google.com/spreadsheets/d/1XL5vhW3sbDhbH9Cz0tuDiY8C3ctxq1tqvaCgkFb8cCA/edit?usp=sharing"",""กาฬสินธุ์!M246"")"),0)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IFERROR(__xludf.DUMMYFUNCTION("IMPORTRANGE(""https://docs.google.com/spreadsheets/d/1XL5vhW3sbDhbH9Cz0tuDiY8C3ctxq1tqvaCgkFb8cCA/edit?usp=sharing"",""กาฬสินธุ์!L247"")"),576480)</f>
        <v>576480</v>
      </c>
      <c r="M352" s="165"/>
      <c r="N352" s="164">
        <f ca="1">IFERROR(__xludf.DUMMYFUNCTION("IMPORTRANGE(""https://docs.google.com/spreadsheets/d/1XL5vhW3sbDhbH9Cz0tuDiY8C3ctxq1tqvaCgkFb8cCA/edit?usp=sharing"",""กาฬสินธุ์!M247"")"),139338)</f>
        <v>139338</v>
      </c>
      <c r="O352" s="165">
        <f t="shared" ca="1" si="105"/>
        <v>24.170482930890923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IFERROR(__xludf.DUMMYFUNCTION("IMPORTRANGE(""https://docs.google.com/spreadsheets/d/1XL5vhW3sbDhbH9Cz0tuDiY8C3ctxq1tqvaCgkFb8cCA/edit?usp=sharing"",""กาฬสินธุ์!L248"")"),0)</f>
        <v>0</v>
      </c>
      <c r="M353" s="169"/>
      <c r="N353" s="169">
        <f ca="1">IFERROR(__xludf.DUMMYFUNCTION("IMPORTRANGE(""https://docs.google.com/spreadsheets/d/1XL5vhW3sbDhbH9Cz0tuDiY8C3ctxq1tqvaCgkFb8cCA/edit?usp=sharing"",""กาฬสินธุ์!M248"")"),0)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IFERROR(__xludf.DUMMYFUNCTION("IMPORTRANGE(""https://docs.google.com/spreadsheets/d/1XL5vhW3sbDhbH9Cz0tuDiY8C3ctxq1tqvaCgkFb8cCA/edit?usp=sharing"",""กาฬสินธุ์!L249"")"),576480)</f>
        <v>576480</v>
      </c>
      <c r="M354" s="169"/>
      <c r="N354" s="168">
        <f ca="1">IFERROR(__xludf.DUMMYFUNCTION("IMPORTRANGE(""https://docs.google.com/spreadsheets/d/1XL5vhW3sbDhbH9Cz0tuDiY8C3ctxq1tqvaCgkFb8cCA/edit?usp=sharing"",""กาฬสินธุ์!M249"")"),139338)</f>
        <v>139338</v>
      </c>
      <c r="O354" s="169">
        <f t="shared" ca="1" si="105"/>
        <v>24.170482930890923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IFERROR(__xludf.DUMMYFUNCTION("IMPORTRANGE(""https://docs.google.com/spreadsheets/d/1XL5vhW3sbDhbH9Cz0tuDiY8C3ctxq1tqvaCgkFb8cCA/edit?usp=sharing"",""กาฬสินธุ์!M250"")"),73200)</f>
        <v>73200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IFERROR(__xludf.DUMMYFUNCTION("IMPORTRANGE(""https://docs.google.com/spreadsheets/d/1XL5vhW3sbDhbH9Cz0tuDiY8C3ctxq1tqvaCgkFb8cCA/edit?usp=sharing"",""กาฬสินธุ์!M251"")"),0)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IFERROR(__xludf.DUMMYFUNCTION("IMPORTRANGE(""https://docs.google.com/spreadsheets/d/1XL5vhW3sbDhbH9Cz0tuDiY8C3ctxq1tqvaCgkFb8cCA/edit?usp=sharing"",""กาฬสินธุ์!M252"")"),50348)</f>
        <v>50348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IFERROR(__xludf.DUMMYFUNCTION("IMPORTRANGE(""https://docs.google.com/spreadsheets/d/1XL5vhW3sbDhbH9Cz0tuDiY8C3ctxq1tqvaCgkFb8cCA/edit?usp=sharing"",""กาฬสินธุ์!M253"")"),15790)</f>
        <v>15790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IFERROR(__xludf.DUMMYFUNCTION("IMPORTRANGE(""https://docs.google.com/spreadsheets/d/1XL5vhW3sbDhbH9Cz0tuDiY8C3ctxq1tqvaCgkFb8cCA/edit?usp=sharing"",""กาฬสินธุ์!J255"")"),0)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IFERROR(__xludf.DUMMYFUNCTION("IMPORTRANGE(""https://docs.google.com/spreadsheets/d/1XL5vhW3sbDhbH9Cz0tuDiY8C3ctxq1tqvaCgkFb8cCA/edit?usp=sharing"",""กาฬสินธุ์!J256"")"),1)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IFERROR(__xludf.DUMMYFUNCTION("IMPORTRANGE(""https://docs.google.com/spreadsheets/d/1XL5vhW3sbDhbH9Cz0tuDiY8C3ctxq1tqvaCgkFb8cCA/edit?usp=sharing"",""กาฬสินธุ์!J257"")"),1)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IFERROR(__xludf.DUMMYFUNCTION("IMPORTRANGE(""https://docs.google.com/spreadsheets/d/1XL5vhW3sbDhbH9Cz0tuDiY8C3ctxq1tqvaCgkFb8cCA/edit?usp=sharing"",""กาฬสินธุ์!J258"")"),0)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IFERROR(__xludf.DUMMYFUNCTION("IMPORTRANGE(""https://docs.google.com/spreadsheets/d/1XL5vhW3sbDhbH9Cz0tuDiY8C3ctxq1tqvaCgkFb8cCA/edit?usp=sharing"",""กาฬสินธุ์!J166"")"),0)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IFERROR(__xludf.DUMMYFUNCTION("IMPORTRANGE(""https://docs.google.com/spreadsheets/d/1XL5vhW3sbDhbH9Cz0tuDiY8C3ctxq1tqvaCgkFb8cCA/edit?usp=sharing"",""กาฬสินธุ์!J166"")"),0)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IFERROR(__xludf.DUMMYFUNCTION("IMPORTRANGE(""https://docs.google.com/spreadsheets/d/1XL5vhW3sbDhbH9Cz0tuDiY8C3ctxq1tqvaCgkFb8cCA/edit?usp=sharing"",""กาฬสินธุ์!J166"")"),0)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IFERROR(__xludf.DUMMYFUNCTION("IMPORTRANGE(""https://docs.google.com/spreadsheets/d/1XL5vhW3sbDhbH9Cz0tuDiY8C3ctxq1tqvaCgkFb8cCA/edit?usp=sharing"",""กาฬสินธุ์!J166"")"),0)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IFERROR(__xludf.DUMMYFUNCTION("IMPORTRANGE(""https://docs.google.com/spreadsheets/d/1XL5vhW3sbDhbH9Cz0tuDiY8C3ctxq1tqvaCgkFb8cCA/edit?usp=sharing"",""กาฬสินธุ์!I263"")"),60)</f>
        <v>60</v>
      </c>
      <c r="J368" s="188">
        <f ca="1">IFERROR(__xludf.DUMMYFUNCTION("IMPORTRANGE(""https://docs.google.com/spreadsheets/d/1XL5vhW3sbDhbH9Cz0tuDiY8C3ctxq1tqvaCgkFb8cCA/edit?usp=sharing"",""กาฬสินธุ์!J263"")"),0)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IFERROR(__xludf.DUMMYFUNCTION("IMPORTRANGE(""https://docs.google.com/spreadsheets/d/1XL5vhW3sbDhbH9Cz0tuDiY8C3ctxq1tqvaCgkFb8cCA/edit?usp=sharing"",""กาฬสินธุ์!I164"")"),0)</f>
        <v>0</v>
      </c>
      <c r="J369" s="204">
        <f ca="1">IFERROR(__xludf.DUMMYFUNCTION("IMPORTRANGE(""https://docs.google.com/spreadsheets/d/1XL5vhW3sbDhbH9Cz0tuDiY8C3ctxq1tqvaCgkFb8cCA/edit?usp=sharing"",""กาฬสินธุ์!J164"")"),0)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293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IFERROR(__xludf.DUMMYFUNCTION("IMPORTRANGE(""https://docs.google.com/spreadsheets/d/1XL5vhW3sbDhbH9Cz0tuDiY8C3ctxq1tqvaCgkFb8cCA/edit?usp=sharing"",""กาฬสินธุ์!I265"")"),60)</f>
        <v>60</v>
      </c>
      <c r="J370" s="204">
        <f ca="1">IFERROR(__xludf.DUMMYFUNCTION("IMPORTRANGE(""https://docs.google.com/spreadsheets/d/1XL5vhW3sbDhbH9Cz0tuDiY8C3ctxq1tqvaCgkFb8cCA/edit?usp=sharing"",""กาฬสินธุ์!J265"")"),0)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IFERROR(__xludf.DUMMYFUNCTION("IMPORTRANGE(""https://docs.google.com/spreadsheets/d/1XL5vhW3sbDhbH9Cz0tuDiY8C3ctxq1tqvaCgkFb8cCA/edit?usp=sharing"",""กาฬสินธุ์!I164"")"),0)</f>
        <v>0</v>
      </c>
      <c r="J371" s="189">
        <f ca="1">IFERROR(__xludf.DUMMYFUNCTION("IMPORTRANGE(""https://docs.google.com/spreadsheets/d/1XL5vhW3sbDhbH9Cz0tuDiY8C3ctxq1tqvaCgkFb8cCA/edit?usp=sharing"",""กาฬสินธุ์!J164"")"),0)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293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IFERROR(__xludf.DUMMYFUNCTION("IMPORTRANGE(""https://docs.google.com/spreadsheets/d/1XL5vhW3sbDhbH9Cz0tuDiY8C3ctxq1tqvaCgkFb8cCA/edit?usp=sharing"",""กาฬสินธุ์!I267"")"),60)</f>
        <v>60</v>
      </c>
      <c r="J372" s="189">
        <f ca="1">IFERROR(__xludf.DUMMYFUNCTION("IMPORTRANGE(""https://docs.google.com/spreadsheets/d/1XL5vhW3sbDhbH9Cz0tuDiY8C3ctxq1tqvaCgkFb8cCA/edit?usp=sharing"",""กาฬสินธุ์!J267"")"),0)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IFERROR(__xludf.DUMMYFUNCTION("IMPORTRANGE(""https://docs.google.com/spreadsheets/d/1XL5vhW3sbDhbH9Cz0tuDiY8C3ctxq1tqvaCgkFb8cCA/edit?usp=sharing"",""กาฬสินธุ์!I164"")"),0)</f>
        <v>0</v>
      </c>
      <c r="J373" s="204">
        <f ca="1">IFERROR(__xludf.DUMMYFUNCTION("IMPORTRANGE(""https://docs.google.com/spreadsheets/d/1XL5vhW3sbDhbH9Cz0tuDiY8C3ctxq1tqvaCgkFb8cCA/edit?usp=sharing"",""กาฬสินธุ์!J164"")"),0)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IFERROR(__xludf.DUMMYFUNCTION("IMPORTRANGE(""https://docs.google.com/spreadsheets/d/1XL5vhW3sbDhbH9Cz0tuDiY8C3ctxq1tqvaCgkFb8cCA/edit?usp=sharing"",""กาฬสินธุ์!I164"")"),0)</f>
        <v>0</v>
      </c>
      <c r="J374" s="188">
        <f ca="1">IFERROR(__xludf.DUMMYFUNCTION("IMPORTRANGE(""https://docs.google.com/spreadsheets/d/1XL5vhW3sbDhbH9Cz0tuDiY8C3ctxq1tqvaCgkFb8cCA/edit?usp=sharing"",""กาฬสินธุ์!J164"")"),0)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IFERROR(__xludf.DUMMYFUNCTION("IMPORTRANGE(""https://docs.google.com/spreadsheets/d/1XL5vhW3sbDhbH9Cz0tuDiY8C3ctxq1tqvaCgkFb8cCA/edit?usp=sharing"",""กาฬสินธุ์!I270"")"),300)</f>
        <v>300</v>
      </c>
      <c r="J375" s="188">
        <f ca="1">IFERROR(__xludf.DUMMYFUNCTION("IMPORTRANGE(""https://docs.google.com/spreadsheets/d/1XL5vhW3sbDhbH9Cz0tuDiY8C3ctxq1tqvaCgkFb8cCA/edit?usp=sharing"",""กาฬสินธุ์!J270"")"),0)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IFERROR(__xludf.DUMMYFUNCTION("IMPORTRANGE(""https://docs.google.com/spreadsheets/d/1XL5vhW3sbDhbH9Cz0tuDiY8C3ctxq1tqvaCgkFb8cCA/edit?usp=sharing"",""กาฬสินธุ์!I271"")"),300)</f>
        <v>300</v>
      </c>
      <c r="J376" s="189">
        <f ca="1">IFERROR(__xludf.DUMMYFUNCTION("IMPORTRANGE(""https://docs.google.com/spreadsheets/d/1XL5vhW3sbDhbH9Cz0tuDiY8C3ctxq1tqvaCgkFb8cCA/edit?usp=sharing"",""กาฬสินธุ์!J271"")"),0)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IFERROR(__xludf.DUMMYFUNCTION("IMPORTRANGE(""https://docs.google.com/spreadsheets/d/1XL5vhW3sbDhbH9Cz0tuDiY8C3ctxq1tqvaCgkFb8cCA/edit?usp=sharing"",""กาฬสินธุ์!I272"")"),0)</f>
        <v>0</v>
      </c>
      <c r="J377" s="204">
        <f ca="1">IFERROR(__xludf.DUMMYFUNCTION("IMPORTRANGE(""https://docs.google.com/spreadsheets/d/1XL5vhW3sbDhbH9Cz0tuDiY8C3ctxq1tqvaCgkFb8cCA/edit?usp=sharing"",""กาฬสินธุ์!J272"")"),0)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IFERROR(__xludf.DUMMYFUNCTION("IMPORTRANGE(""https://docs.google.com/spreadsheets/d/1XL5vhW3sbDhbH9Cz0tuDiY8C3ctxq1tqvaCgkFb8cCA/edit?usp=sharing"",""กาฬสินธุ์!J273"")"),0)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IFERROR(__xludf.DUMMYFUNCTION("IMPORTRANGE(""https://docs.google.com/spreadsheets/d/1XL5vhW3sbDhbH9Cz0tuDiY8C3ctxq1tqvaCgkFb8cCA/edit?usp=sharing"",""กาฬสินธุ์!J274"")"),0)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IFERROR(__xludf.DUMMYFUNCTION("IMPORTRANGE(""https://docs.google.com/spreadsheets/d/1XL5vhW3sbDhbH9Cz0tuDiY8C3ctxq1tqvaCgkFb8cCA/edit?usp=sharing"",""กาฬสินธุ์!I275"")"),1000)</f>
        <v>1000</v>
      </c>
      <c r="J380" s="371">
        <f ca="1">IFERROR(__xludf.DUMMYFUNCTION("IMPORTRANGE(""https://docs.google.com/spreadsheets/d/1XL5vhW3sbDhbH9Cz0tuDiY8C3ctxq1tqvaCgkFb8cCA/edit?usp=sharing"",""กาฬสินธุ์!J275"")"),0)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IFERROR(__xludf.DUMMYFUNCTION("IMPORTRANGE(""https://docs.google.com/spreadsheets/d/1XL5vhW3sbDhbH9Cz0tuDiY8C3ctxq1tqvaCgkFb8cCA/edit?usp=sharing"",""กาฬสินธุ์!L275"")"),1028520)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IFERROR(__xludf.DUMMYFUNCTION("IMPORTRANGE(""https://docs.google.com/spreadsheets/d/1XL5vhW3sbDhbH9Cz0tuDiY8C3ctxq1tqvaCgkFb8cCA/edit?usp=sharing"",""กาฬสินธุ์!M275"")"),219712)</f>
        <v>219712</v>
      </c>
      <c r="O380" s="373">
        <f ca="1">+IF(L380&gt;0,N380*100/L380,0)</f>
        <v>21.361956986738225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IFERROR(__xludf.DUMMYFUNCTION("IMPORTRANGE(""https://docs.google.com/spreadsheets/d/1XL5vhW3sbDhbH9Cz0tuDiY8C3ctxq1tqvaCgkFb8cCA/edit?usp=sharing"",""กาฬสินธุ์!I276"")"),100)</f>
        <v>100</v>
      </c>
      <c r="J381" s="371">
        <f ca="1">IFERROR(__xludf.DUMMYFUNCTION("IMPORTRANGE(""https://docs.google.com/spreadsheets/d/1XL5vhW3sbDhbH9Cz0tuDiY8C3ctxq1tqvaCgkFb8cCA/edit?usp=sharing"",""กาฬสินธุ์!J276"")"),100)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IFERROR(__xludf.DUMMYFUNCTION("IMPORTRANGE(""https://docs.google.com/spreadsheets/d/1XL5vhW3sbDhbH9Cz0tuDiY8C3ctxq1tqvaCgkFb8cCA/edit?usp=sharing"",""กาฬสินธุ์!L277"")"),0)</f>
        <v>0</v>
      </c>
      <c r="M382" s="164"/>
      <c r="N382" s="164">
        <f ca="1">IFERROR(__xludf.DUMMYFUNCTION("IMPORTRANGE(""https://docs.google.com/spreadsheets/d/1XL5vhW3sbDhbH9Cz0tuDiY8C3ctxq1tqvaCgkFb8cCA/edit?usp=sharing"",""กาฬสินธุ์!M277"")"),0)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IFERROR(__xludf.DUMMYFUNCTION("IMPORTRANGE(""https://docs.google.com/spreadsheets/d/1XL5vhW3sbDhbH9Cz0tuDiY8C3ctxq1tqvaCgkFb8cCA/edit?usp=sharing"",""กาฬสินธุ์!L278"")"),1028520)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IFERROR(__xludf.DUMMYFUNCTION("IMPORTRANGE(""https://docs.google.com/spreadsheets/d/1XL5vhW3sbDhbH9Cz0tuDiY8C3ctxq1tqvaCgkFb8cCA/edit?usp=sharing"",""กาฬสินธุ์!M278"")"),219712)</f>
        <v>219712</v>
      </c>
      <c r="O383" s="165">
        <f t="shared" ca="1" si="109"/>
        <v>21.361956986738225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IFERROR(__xludf.DUMMYFUNCTION("IMPORTRANGE(""https://docs.google.com/spreadsheets/d/1XL5vhW3sbDhbH9Cz0tuDiY8C3ctxq1tqvaCgkFb8cCA/edit?usp=sharing"",""กาฬสินธุ์!L279"")"),0)</f>
        <v>0</v>
      </c>
      <c r="M384" s="169"/>
      <c r="N384" s="169">
        <f ca="1">IFERROR(__xludf.DUMMYFUNCTION("IMPORTRANGE(""https://docs.google.com/spreadsheets/d/1XL5vhW3sbDhbH9Cz0tuDiY8C3ctxq1tqvaCgkFb8cCA/edit?usp=sharing"",""กาฬสินธุ์!M279"")"),0)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IFERROR(__xludf.DUMMYFUNCTION("IMPORTRANGE(""https://docs.google.com/spreadsheets/d/1XL5vhW3sbDhbH9Cz0tuDiY8C3ctxq1tqvaCgkFb8cCA/edit?usp=sharing"",""กาฬสินธุ์!L280"")"),1028520)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IFERROR(__xludf.DUMMYFUNCTION("IMPORTRANGE(""https://docs.google.com/spreadsheets/d/1XL5vhW3sbDhbH9Cz0tuDiY8C3ctxq1tqvaCgkFb8cCA/edit?usp=sharing"",""กาฬสินธุ์!M280"")"),219712)</f>
        <v>219712</v>
      </c>
      <c r="O385" s="169">
        <f t="shared" ca="1" si="109"/>
        <v>21.361956986738225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IFERROR(__xludf.DUMMYFUNCTION("IMPORTRANGE(""https://docs.google.com/spreadsheets/d/1XL5vhW3sbDhbH9Cz0tuDiY8C3ctxq1tqvaCgkFb8cCA/edit?usp=sharing"",""กาฬสินธุ์!M281"")"),147065)</f>
        <v>147065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IFERROR(__xludf.DUMMYFUNCTION("IMPORTRANGE(""https://docs.google.com/spreadsheets/d/1XL5vhW3sbDhbH9Cz0tuDiY8C3ctxq1tqvaCgkFb8cCA/edit?usp=sharing"",""กาฬสินธุ์!M282"")"),0)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IFERROR(__xludf.DUMMYFUNCTION("IMPORTRANGE(""https://docs.google.com/spreadsheets/d/1XL5vhW3sbDhbH9Cz0tuDiY8C3ctxq1tqvaCgkFb8cCA/edit?usp=sharing"",""กาฬสินธุ์!M283"")"),49677)</f>
        <v>49677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IFERROR(__xludf.DUMMYFUNCTION("IMPORTRANGE(""https://docs.google.com/spreadsheets/d/1XL5vhW3sbDhbH9Cz0tuDiY8C3ctxq1tqvaCgkFb8cCA/edit?usp=sharing"",""กาฬสินธุ์!M284"")"),22970)</f>
        <v>22970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IFERROR(__xludf.DUMMYFUNCTION("IMPORTRANGE(""https://docs.google.com/spreadsheets/d/1XL5vhW3sbDhbH9Cz0tuDiY8C3ctxq1tqvaCgkFb8cCA/edit?usp=sharing"",""กาฬสินธุ์!J286"")"),0)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IFERROR(__xludf.DUMMYFUNCTION("IMPORTRANGE(""https://docs.google.com/spreadsheets/d/1XL5vhW3sbDhbH9Cz0tuDiY8C3ctxq1tqvaCgkFb8cCA/edit?usp=sharing"",""กาฬสินธุ์!J287"")"),1)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IFERROR(__xludf.DUMMYFUNCTION("IMPORTRANGE(""https://docs.google.com/spreadsheets/d/1XL5vhW3sbDhbH9Cz0tuDiY8C3ctxq1tqvaCgkFb8cCA/edit?usp=sharing"",""กาฬสินธุ์!J288"")"),1)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IFERROR(__xludf.DUMMYFUNCTION("IMPORTRANGE(""https://docs.google.com/spreadsheets/d/1XL5vhW3sbDhbH9Cz0tuDiY8C3ctxq1tqvaCgkFb8cCA/edit?usp=sharing"",""กาฬสินธุ์!J289"")"),1)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IFERROR(__xludf.DUMMYFUNCTION("IMPORTRANGE(""https://docs.google.com/spreadsheets/d/1XL5vhW3sbDhbH9Cz0tuDiY8C3ctxq1tqvaCgkFb8cCA/edit?usp=sharing"",""กาฬสินธุ์!I291"")"),100)</f>
        <v>100</v>
      </c>
      <c r="J396" s="198">
        <f ca="1">IFERROR(__xludf.DUMMYFUNCTION("IMPORTRANGE(""https://docs.google.com/spreadsheets/d/1XL5vhW3sbDhbH9Cz0tuDiY8C3ctxq1tqvaCgkFb8cCA/edit?usp=sharing"",""กาฬสินธุ์!J291"")"),100)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IFERROR(__xludf.DUMMYFUNCTION("IMPORTRANGE(""https://docs.google.com/spreadsheets/d/1XL5vhW3sbDhbH9Cz0tuDiY8C3ctxq1tqvaCgkFb8cCA/edit?usp=sharing"",""กาฬสินธุ์!I292"")"),1000)</f>
        <v>1000</v>
      </c>
      <c r="J397" s="198">
        <f ca="1">IFERROR(__xludf.DUMMYFUNCTION("IMPORTRANGE(""https://docs.google.com/spreadsheets/d/1XL5vhW3sbDhbH9Cz0tuDiY8C3ctxq1tqvaCgkFb8cCA/edit?usp=sharing"",""กาฬสินธุ์!J292"")"),0)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IFERROR(__xludf.DUMMYFUNCTION("IMPORTRANGE(""https://docs.google.com/spreadsheets/d/1XL5vhW3sbDhbH9Cz0tuDiY8C3ctxq1tqvaCgkFb8cCA/edit?usp=sharing"",""กาฬสินธุ์!I293"")"),100)</f>
        <v>100</v>
      </c>
      <c r="J398" s="198">
        <f ca="1">IFERROR(__xludf.DUMMYFUNCTION("IMPORTRANGE(""https://docs.google.com/spreadsheets/d/1XL5vhW3sbDhbH9Cz0tuDiY8C3ctxq1tqvaCgkFb8cCA/edit?usp=sharing"",""กาฬสินธุ์!J293"")"),0)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IFERROR(__xludf.DUMMYFUNCTION("IMPORTRANGE(""https://docs.google.com/spreadsheets/d/1XL5vhW3sbDhbH9Cz0tuDiY8C3ctxq1tqvaCgkFb8cCA/edit?usp=sharing"",""กาฬสินธุ์!J294"")"),0)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IFERROR(__xludf.DUMMYFUNCTION("IMPORTRANGE(""https://docs.google.com/spreadsheets/d/1XL5vhW3sbDhbH9Cz0tuDiY8C3ctxq1tqvaCgkFb8cCA/edit?usp=sharing"",""กาฬสินธุ์!J295"")"),0)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IFERROR(__xludf.DUMMYFUNCTION("IMPORTRANGE(""https://docs.google.com/spreadsheets/d/1XL5vhW3sbDhbH9Cz0tuDiY8C3ctxq1tqvaCgkFb8cCA/edit?usp=sharing"",""กาฬสินธุ์!I296"")"),105)</f>
        <v>105</v>
      </c>
      <c r="J401" s="371">
        <f ca="1">IFERROR(__xludf.DUMMYFUNCTION("IMPORTRANGE(""https://docs.google.com/spreadsheets/d/1XL5vhW3sbDhbH9Cz0tuDiY8C3ctxq1tqvaCgkFb8cCA/edit?usp=sharing"",""กาฬสินธุ์!J296"")"),105)</f>
        <v>105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IFERROR(__xludf.DUMMYFUNCTION("IMPORTRANGE(""https://docs.google.com/spreadsheets/d/1XL5vhW3sbDhbH9Cz0tuDiY8C3ctxq1tqvaCgkFb8cCA/edit?usp=sharing"",""กาฬสินธุ์!L296"")"),131710)</f>
        <v>131710</v>
      </c>
      <c r="M401" s="373"/>
      <c r="N401" s="373">
        <f ca="1">IFERROR(__xludf.DUMMYFUNCTION("IMPORTRANGE(""https://docs.google.com/spreadsheets/d/1XL5vhW3sbDhbH9Cz0tuDiY8C3ctxq1tqvaCgkFb8cCA/edit?usp=sharing"",""กาฬสินธุ์!M296"")"),85320)</f>
        <v>85320</v>
      </c>
      <c r="O401" s="373">
        <f ca="1">+IF(L401&gt;0,N401*100/L401,0)</f>
        <v>64.778680434287452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IFERROR(__xludf.DUMMYFUNCTION("IMPORTRANGE(""https://docs.google.com/spreadsheets/d/1XL5vhW3sbDhbH9Cz0tuDiY8C3ctxq1tqvaCgkFb8cCA/edit?usp=sharing"",""กาฬสินธุ์!I297"")"),35)</f>
        <v>35</v>
      </c>
      <c r="J402" s="371">
        <f ca="1">IFERROR(__xludf.DUMMYFUNCTION("IMPORTRANGE(""https://docs.google.com/spreadsheets/d/1XL5vhW3sbDhbH9Cz0tuDiY8C3ctxq1tqvaCgkFb8cCA/edit?usp=sharing"",""กาฬสินธุ์!J297"")"),35)</f>
        <v>35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IFERROR(__xludf.DUMMYFUNCTION("IMPORTRANGE(""https://docs.google.com/spreadsheets/d/1XL5vhW3sbDhbH9Cz0tuDiY8C3ctxq1tqvaCgkFb8cCA/edit?usp=sharing"",""กาฬสินธุ์!L298"")"),0)</f>
        <v>0</v>
      </c>
      <c r="M403" s="164"/>
      <c r="N403" s="169">
        <f ca="1">IFERROR(__xludf.DUMMYFUNCTION("IMPORTRANGE(""https://docs.google.com/spreadsheets/d/1XL5vhW3sbDhbH9Cz0tuDiY8C3ctxq1tqvaCgkFb8cCA/edit?usp=sharing"",""กาฬสินธุ์!M298"")"),0)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IFERROR(__xludf.DUMMYFUNCTION("IMPORTRANGE(""https://docs.google.com/spreadsheets/d/1XL5vhW3sbDhbH9Cz0tuDiY8C3ctxq1tqvaCgkFb8cCA/edit?usp=sharing"",""กาฬสินธุ์!L299"")"),131710)</f>
        <v>131710</v>
      </c>
      <c r="M404" s="165"/>
      <c r="N404" s="169">
        <f ca="1">IFERROR(__xludf.DUMMYFUNCTION("IMPORTRANGE(""https://docs.google.com/spreadsheets/d/1XL5vhW3sbDhbH9Cz0tuDiY8C3ctxq1tqvaCgkFb8cCA/edit?usp=sharing"",""กาฬสินธุ์!M299"")"),85320)</f>
        <v>85320</v>
      </c>
      <c r="O404" s="169">
        <f t="shared" ca="1" si="112"/>
        <v>64.778680434287452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IFERROR(__xludf.DUMMYFUNCTION("IMPORTRANGE(""https://docs.google.com/spreadsheets/d/1XL5vhW3sbDhbH9Cz0tuDiY8C3ctxq1tqvaCgkFb8cCA/edit?usp=sharing"",""กาฬสินธุ์!L300"")"),0)</f>
        <v>0</v>
      </c>
      <c r="M405" s="169"/>
      <c r="N405" s="169">
        <f ca="1">IFERROR(__xludf.DUMMYFUNCTION("IMPORTRANGE(""https://docs.google.com/spreadsheets/d/1XL5vhW3sbDhbH9Cz0tuDiY8C3ctxq1tqvaCgkFb8cCA/edit?usp=sharing"",""กาฬสินธุ์!M300"")"),0)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IFERROR(__xludf.DUMMYFUNCTION("IMPORTRANGE(""https://docs.google.com/spreadsheets/d/1XL5vhW3sbDhbH9Cz0tuDiY8C3ctxq1tqvaCgkFb8cCA/edit?usp=sharing"",""กาฬสินธุ์!L301"")"),131710)</f>
        <v>131710</v>
      </c>
      <c r="M406" s="169"/>
      <c r="N406" s="169">
        <f ca="1">IFERROR(__xludf.DUMMYFUNCTION("IMPORTRANGE(""https://docs.google.com/spreadsheets/d/1XL5vhW3sbDhbH9Cz0tuDiY8C3ctxq1tqvaCgkFb8cCA/edit?usp=sharing"",""กาฬสินธุ์!M301"")"),85320)</f>
        <v>85320</v>
      </c>
      <c r="O406" s="169">
        <f t="shared" ca="1" si="112"/>
        <v>64.778680434287452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IFERROR(__xludf.DUMMYFUNCTION("IMPORTRANGE(""https://docs.google.com/spreadsheets/d/1XL5vhW3sbDhbH9Cz0tuDiY8C3ctxq1tqvaCgkFb8cCA/edit?usp=sharing"",""กาฬสินธุ์!M302"")"),48820)</f>
        <v>48820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IFERROR(__xludf.DUMMYFUNCTION("IMPORTRANGE(""https://docs.google.com/spreadsheets/d/1XL5vhW3sbDhbH9Cz0tuDiY8C3ctxq1tqvaCgkFb8cCA/edit?usp=sharing"",""กาฬสินธุ์!M303"")"),25500)</f>
        <v>25500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IFERROR(__xludf.DUMMYFUNCTION("IMPORTRANGE(""https://docs.google.com/spreadsheets/d/1XL5vhW3sbDhbH9Cz0tuDiY8C3ctxq1tqvaCgkFb8cCA/edit?usp=sharing"",""กาฬสินธุ์!M304"")"),0)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IFERROR(__xludf.DUMMYFUNCTION("IMPORTRANGE(""https://docs.google.com/spreadsheets/d/1XL5vhW3sbDhbH9Cz0tuDiY8C3ctxq1tqvaCgkFb8cCA/edit?usp=sharing"",""กาฬสินธุ์!M305"")"),11000)</f>
        <v>11000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IFERROR(__xludf.DUMMYFUNCTION("IMPORTRANGE(""https://docs.google.com/spreadsheets/d/1XL5vhW3sbDhbH9Cz0tuDiY8C3ctxq1tqvaCgkFb8cCA/edit?usp=sharing"",""กาฬสินธุ์!J307"")"),0)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IFERROR(__xludf.DUMMYFUNCTION("IMPORTRANGE(""https://docs.google.com/spreadsheets/d/1XL5vhW3sbDhbH9Cz0tuDiY8C3ctxq1tqvaCgkFb8cCA/edit?usp=sharing"",""กาฬสินธุ์!J308"")"),1)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IFERROR(__xludf.DUMMYFUNCTION("IMPORTRANGE(""https://docs.google.com/spreadsheets/d/1XL5vhW3sbDhbH9Cz0tuDiY8C3ctxq1tqvaCgkFb8cCA/edit?usp=sharing"",""กาฬสินธุ์!J309"")"),1)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IFERROR(__xludf.DUMMYFUNCTION("IMPORTRANGE(""https://docs.google.com/spreadsheets/d/1XL5vhW3sbDhbH9Cz0tuDiY8C3ctxq1tqvaCgkFb8cCA/edit?usp=sharing"",""กาฬสินธุ์!J310"")"),1)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IFERROR(__xludf.DUMMYFUNCTION("IMPORTRANGE(""https://docs.google.com/spreadsheets/d/1XL5vhW3sbDhbH9Cz0tuDiY8C3ctxq1tqvaCgkFb8cCA/edit?usp=sharing"",""กาฬสินธุ์!I311"")"),35)</f>
        <v>35</v>
      </c>
      <c r="J416" s="201">
        <f ca="1">IFERROR(__xludf.DUMMYFUNCTION("IMPORTRANGE(""https://docs.google.com/spreadsheets/d/1XL5vhW3sbDhbH9Cz0tuDiY8C3ctxq1tqvaCgkFb8cCA/edit?usp=sharing"",""กาฬสินธุ์!J311"")"),35)</f>
        <v>35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IFERROR(__xludf.DUMMYFUNCTION("IMPORTRANGE(""https://docs.google.com/spreadsheets/d/1XL5vhW3sbDhbH9Cz0tuDiY8C3ctxq1tqvaCgkFb8cCA/edit?usp=sharing"",""กาฬสินธุ์!I312"")"),10)</f>
        <v>10</v>
      </c>
      <c r="J417" s="392">
        <f ca="1">IFERROR(__xludf.DUMMYFUNCTION("IMPORTRANGE(""https://docs.google.com/spreadsheets/d/1XL5vhW3sbDhbH9Cz0tuDiY8C3ctxq1tqvaCgkFb8cCA/edit?usp=sharing"",""กาฬสินธุ์!J312"")"),10)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IFERROR(__xludf.DUMMYFUNCTION("IMPORTRANGE(""https://docs.google.com/spreadsheets/d/1XL5vhW3sbDhbH9Cz0tuDiY8C3ctxq1tqvaCgkFb8cCA/edit?usp=sharing"",""กาฬสินธุ์!I313"")"),30)</f>
        <v>30</v>
      </c>
      <c r="J418" s="393">
        <f ca="1">IFERROR(__xludf.DUMMYFUNCTION("IMPORTRANGE(""https://docs.google.com/spreadsheets/d/1XL5vhW3sbDhbH9Cz0tuDiY8C3ctxq1tqvaCgkFb8cCA/edit?usp=sharing"",""กาฬสินธุ์!J313"")"),30)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IFERROR(__xludf.DUMMYFUNCTION("IMPORTRANGE(""https://docs.google.com/spreadsheets/d/1XL5vhW3sbDhbH9Cz0tuDiY8C3ctxq1tqvaCgkFb8cCA/edit?usp=sharing"",""กาฬสินธุ์!I314"")"),10)</f>
        <v>10</v>
      </c>
      <c r="J419" s="394">
        <f ca="1">IFERROR(__xludf.DUMMYFUNCTION("IMPORTRANGE(""https://docs.google.com/spreadsheets/d/1XL5vhW3sbDhbH9Cz0tuDiY8C3ctxq1tqvaCgkFb8cCA/edit?usp=sharing"",""กาฬสินธุ์!J314"")"),10)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IFERROR(__xludf.DUMMYFUNCTION("IMPORTRANGE(""https://docs.google.com/spreadsheets/d/1XL5vhW3sbDhbH9Cz0tuDiY8C3ctxq1tqvaCgkFb8cCA/edit?usp=sharing"",""กาฬสินธุ์!I315"")"),10)</f>
        <v>10</v>
      </c>
      <c r="J420" s="394">
        <f ca="1">IFERROR(__xludf.DUMMYFUNCTION("IMPORTRANGE(""https://docs.google.com/spreadsheets/d/1XL5vhW3sbDhbH9Cz0tuDiY8C3ctxq1tqvaCgkFb8cCA/edit?usp=sharing"",""กาฬสินธุ์!J315"")"),10)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IFERROR(__xludf.DUMMYFUNCTION("IMPORTRANGE(""https://docs.google.com/spreadsheets/d/1XL5vhW3sbDhbH9Cz0tuDiY8C3ctxq1tqvaCgkFb8cCA/edit?usp=sharing"",""กาฬสินธุ์!I316"")"),15)</f>
        <v>15</v>
      </c>
      <c r="J421" s="392">
        <f ca="1">IFERROR(__xludf.DUMMYFUNCTION("IMPORTRANGE(""https://docs.google.com/spreadsheets/d/1XL5vhW3sbDhbH9Cz0tuDiY8C3ctxq1tqvaCgkFb8cCA/edit?usp=sharing"",""กาฬสินธุ์!J316"")"),15)</f>
        <v>15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IFERROR(__xludf.DUMMYFUNCTION("IMPORTRANGE(""https://docs.google.com/spreadsheets/d/1XL5vhW3sbDhbH9Cz0tuDiY8C3ctxq1tqvaCgkFb8cCA/edit?usp=sharing"",""กาฬสินธุ์!I317"")"),45)</f>
        <v>45</v>
      </c>
      <c r="J422" s="393">
        <f ca="1">IFERROR(__xludf.DUMMYFUNCTION("IMPORTRANGE(""https://docs.google.com/spreadsheets/d/1XL5vhW3sbDhbH9Cz0tuDiY8C3ctxq1tqvaCgkFb8cCA/edit?usp=sharing"",""กาฬสินธุ์!J317"")"),45)</f>
        <v>45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IFERROR(__xludf.DUMMYFUNCTION("IMPORTRANGE(""https://docs.google.com/spreadsheets/d/1XL5vhW3sbDhbH9Cz0tuDiY8C3ctxq1tqvaCgkFb8cCA/edit?usp=sharing"",""กาฬสินธุ์!I318"")"),15)</f>
        <v>15</v>
      </c>
      <c r="J423" s="394">
        <f ca="1">IFERROR(__xludf.DUMMYFUNCTION("IMPORTRANGE(""https://docs.google.com/spreadsheets/d/1XL5vhW3sbDhbH9Cz0tuDiY8C3ctxq1tqvaCgkFb8cCA/edit?usp=sharing"",""กาฬสินธุ์!J318"")"),15)</f>
        <v>15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IFERROR(__xludf.DUMMYFUNCTION("IMPORTRANGE(""https://docs.google.com/spreadsheets/d/1XL5vhW3sbDhbH9Cz0tuDiY8C3ctxq1tqvaCgkFb8cCA/edit?usp=sharing"",""กาฬสินธุ์!I319"")"),15)</f>
        <v>15</v>
      </c>
      <c r="J424" s="394">
        <f ca="1">IFERROR(__xludf.DUMMYFUNCTION("IMPORTRANGE(""https://docs.google.com/spreadsheets/d/1XL5vhW3sbDhbH9Cz0tuDiY8C3ctxq1tqvaCgkFb8cCA/edit?usp=sharing"",""กาฬสินธุ์!J319"")"),15)</f>
        <v>15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IFERROR(__xludf.DUMMYFUNCTION("IMPORTRANGE(""https://docs.google.com/spreadsheets/d/1XL5vhW3sbDhbH9Cz0tuDiY8C3ctxq1tqvaCgkFb8cCA/edit?usp=sharing"",""กาฬสินธุ์!I320"")"),15)</f>
        <v>15</v>
      </c>
      <c r="J425" s="394">
        <f ca="1">IFERROR(__xludf.DUMMYFUNCTION("IMPORTRANGE(""https://docs.google.com/spreadsheets/d/1XL5vhW3sbDhbH9Cz0tuDiY8C3ctxq1tqvaCgkFb8cCA/edit?usp=sharing"",""กาฬสินธุ์!J320"")"),15)</f>
        <v>15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IFERROR(__xludf.DUMMYFUNCTION("IMPORTRANGE(""https://docs.google.com/spreadsheets/d/1XL5vhW3sbDhbH9Cz0tuDiY8C3ctxq1tqvaCgkFb8cCA/edit?usp=sharing"",""กาฬสินธุ์!I321"")"),10)</f>
        <v>10</v>
      </c>
      <c r="J426" s="392">
        <f ca="1">IFERROR(__xludf.DUMMYFUNCTION("IMPORTRANGE(""https://docs.google.com/spreadsheets/d/1XL5vhW3sbDhbH9Cz0tuDiY8C3ctxq1tqvaCgkFb8cCA/edit?usp=sharing"",""กาฬสินธุ์!J321"")"),10)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IFERROR(__xludf.DUMMYFUNCTION("IMPORTRANGE(""https://docs.google.com/spreadsheets/d/1XL5vhW3sbDhbH9Cz0tuDiY8C3ctxq1tqvaCgkFb8cCA/edit?usp=sharing"",""กาฬสินธุ์!I322"")"),30)</f>
        <v>30</v>
      </c>
      <c r="J427" s="393">
        <f ca="1">IFERROR(__xludf.DUMMYFUNCTION("IMPORTRANGE(""https://docs.google.com/spreadsheets/d/1XL5vhW3sbDhbH9Cz0tuDiY8C3ctxq1tqvaCgkFb8cCA/edit?usp=sharing"",""กาฬสินธุ์!J322"")"),30)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IFERROR(__xludf.DUMMYFUNCTION("IMPORTRANGE(""https://docs.google.com/spreadsheets/d/1XL5vhW3sbDhbH9Cz0tuDiY8C3ctxq1tqvaCgkFb8cCA/edit?usp=sharing"",""กาฬสินธุ์!I323"")"),10)</f>
        <v>10</v>
      </c>
      <c r="J428" s="394">
        <f ca="1">IFERROR(__xludf.DUMMYFUNCTION("IMPORTRANGE(""https://docs.google.com/spreadsheets/d/1XL5vhW3sbDhbH9Cz0tuDiY8C3ctxq1tqvaCgkFb8cCA/edit?usp=sharing"",""กาฬสินธุ์!J323"")"),10)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IFERROR(__xludf.DUMMYFUNCTION("IMPORTRANGE(""https://docs.google.com/spreadsheets/d/1XL5vhW3sbDhbH9Cz0tuDiY8C3ctxq1tqvaCgkFb8cCA/edit?usp=sharing"",""กาฬสินธุ์!I324"")"),10)</f>
        <v>10</v>
      </c>
      <c r="J429" s="394">
        <f ca="1">IFERROR(__xludf.DUMMYFUNCTION("IMPORTRANGE(""https://docs.google.com/spreadsheets/d/1XL5vhW3sbDhbH9Cz0tuDiY8C3ctxq1tqvaCgkFb8cCA/edit?usp=sharing"",""กาฬสินธุ์!J324"")"),10)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IFERROR(__xludf.DUMMYFUNCTION("IMPORTRANGE(""https://docs.google.com/spreadsheets/d/1XL5vhW3sbDhbH9Cz0tuDiY8C3ctxq1tqvaCgkFb8cCA/edit?usp=sharing"",""กาฬสินธุ์!I325"")"),25)</f>
        <v>25</v>
      </c>
      <c r="J430" s="392">
        <f ca="1">IFERROR(__xludf.DUMMYFUNCTION("IMPORTRANGE(""https://docs.google.com/spreadsheets/d/1XL5vhW3sbDhbH9Cz0tuDiY8C3ctxq1tqvaCgkFb8cCA/edit?usp=sharing"",""กาฬสินธุ์!J325"")"),25)</f>
        <v>25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IFERROR(__xludf.DUMMYFUNCTION("IMPORTRANGE(""https://docs.google.com/spreadsheets/d/1XL5vhW3sbDhbH9Cz0tuDiY8C3ctxq1tqvaCgkFb8cCA/edit?usp=sharing"",""กาฬสินธุ์!I326"")"),10)</f>
        <v>10</v>
      </c>
      <c r="J431" s="394">
        <f ca="1">IFERROR(__xludf.DUMMYFUNCTION("IMPORTRANGE(""https://docs.google.com/spreadsheets/d/1XL5vhW3sbDhbH9Cz0tuDiY8C3ctxq1tqvaCgkFb8cCA/edit?usp=sharing"",""กาฬสินธุ์!J326"")"),10)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IFERROR(__xludf.DUMMYFUNCTION("IMPORTRANGE(""https://docs.google.com/spreadsheets/d/1XL5vhW3sbDhbH9Cz0tuDiY8C3ctxq1tqvaCgkFb8cCA/edit?usp=sharing"",""กาฬสินธุ์!I327"")"),15)</f>
        <v>15</v>
      </c>
      <c r="J432" s="394">
        <f ca="1">IFERROR(__xludf.DUMMYFUNCTION("IMPORTRANGE(""https://docs.google.com/spreadsheets/d/1XL5vhW3sbDhbH9Cz0tuDiY8C3ctxq1tqvaCgkFb8cCA/edit?usp=sharing"",""กาฬสินธุ์!J327"")"),15)</f>
        <v>15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IFERROR(__xludf.DUMMYFUNCTION("IMPORTRANGE(""https://docs.google.com/spreadsheets/d/1XL5vhW3sbDhbH9Cz0tuDiY8C3ctxq1tqvaCgkFb8cCA/edit?usp=sharing"",""กาฬสินธุ์!J328"")"),0)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IFERROR(__xludf.DUMMYFUNCTION("IMPORTRANGE(""https://docs.google.com/spreadsheets/d/1XL5vhW3sbDhbH9Cz0tuDiY8C3ctxq1tqvaCgkFb8cCA/edit?usp=sharing"",""กาฬสินธุ์!J329"")"),0)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IFERROR(__xludf.DUMMYFUNCTION("IMPORTRANGE(""https://docs.google.com/spreadsheets/d/1XL5vhW3sbDhbH9Cz0tuDiY8C3ctxq1tqvaCgkFb8cCA/edit?usp=sharing"",""กาฬสินธุ์!I330"")"),45)</f>
        <v>45</v>
      </c>
      <c r="J435" s="410">
        <f ca="1">IFERROR(__xludf.DUMMYFUNCTION("IMPORTRANGE(""https://docs.google.com/spreadsheets/d/1XL5vhW3sbDhbH9Cz0tuDiY8C3ctxq1tqvaCgkFb8cCA/edit?usp=sharing"",""กาฬสินธุ์!J330"")"),25)</f>
        <v>25</v>
      </c>
      <c r="K435" s="411">
        <f ca="1">IF(I435&gt;0,J435*100/I435,0)</f>
        <v>55.555555555555557</v>
      </c>
      <c r="L435" s="412">
        <f ca="1">IFERROR(__xludf.DUMMYFUNCTION("IMPORTRANGE(""https://docs.google.com/spreadsheets/d/1XL5vhW3sbDhbH9Cz0tuDiY8C3ctxq1tqvaCgkFb8cCA/edit?usp=sharing"",""กาฬสินธุ์!L330"")"),168000)</f>
        <v>168000</v>
      </c>
      <c r="M435" s="412"/>
      <c r="N435" s="412">
        <f ca="1">IFERROR(__xludf.DUMMYFUNCTION("IMPORTRANGE(""https://docs.google.com/spreadsheets/d/1XL5vhW3sbDhbH9Cz0tuDiY8C3ctxq1tqvaCgkFb8cCA/edit?usp=sharing"",""กาฬสินธุ์!M330"")"),104395)</f>
        <v>104395</v>
      </c>
      <c r="O435" s="412">
        <f t="shared" ref="O435:O439" ca="1" si="114">+IF(L435&gt;0,N435*100/L435,0)</f>
        <v>62.139880952380949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IFERROR(__xludf.DUMMYFUNCTION("IMPORTRANGE(""https://docs.google.com/spreadsheets/d/1XL5vhW3sbDhbH9Cz0tuDiY8C3ctxq1tqvaCgkFb8cCA/edit?usp=sharing"",""กาฬสินธุ์!L331"")"),0)</f>
        <v>0</v>
      </c>
      <c r="M436" s="164"/>
      <c r="N436" s="169">
        <f ca="1">IFERROR(__xludf.DUMMYFUNCTION("IMPORTRANGE(""https://docs.google.com/spreadsheets/d/1XL5vhW3sbDhbH9Cz0tuDiY8C3ctxq1tqvaCgkFb8cCA/edit?usp=sharing"",""กาฬสินธุ์!M331"")"),0)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IFERROR(__xludf.DUMMYFUNCTION("IMPORTRANGE(""https://docs.google.com/spreadsheets/d/1XL5vhW3sbDhbH9Cz0tuDiY8C3ctxq1tqvaCgkFb8cCA/edit?usp=sharing"",""กาฬสินธุ์!L332"")"),168000)</f>
        <v>168000</v>
      </c>
      <c r="M437" s="165"/>
      <c r="N437" s="169">
        <f ca="1">IFERROR(__xludf.DUMMYFUNCTION("IMPORTRANGE(""https://docs.google.com/spreadsheets/d/1XL5vhW3sbDhbH9Cz0tuDiY8C3ctxq1tqvaCgkFb8cCA/edit?usp=sharing"",""กาฬสินธุ์!M332"")"),104395)</f>
        <v>104395</v>
      </c>
      <c r="O437" s="169">
        <f t="shared" ca="1" si="114"/>
        <v>62.139880952380949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IFERROR(__xludf.DUMMYFUNCTION("IMPORTRANGE(""https://docs.google.com/spreadsheets/d/1XL5vhW3sbDhbH9Cz0tuDiY8C3ctxq1tqvaCgkFb8cCA/edit?usp=sharing"",""กาฬสินธุ์!L333"")"),0)</f>
        <v>0</v>
      </c>
      <c r="M438" s="169"/>
      <c r="N438" s="169">
        <f ca="1">IFERROR(__xludf.DUMMYFUNCTION("IMPORTRANGE(""https://docs.google.com/spreadsheets/d/1XL5vhW3sbDhbH9Cz0tuDiY8C3ctxq1tqvaCgkFb8cCA/edit?usp=sharing"",""กาฬสินธุ์!M333"")"),0)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IFERROR(__xludf.DUMMYFUNCTION("IMPORTRANGE(""https://docs.google.com/spreadsheets/d/1XL5vhW3sbDhbH9Cz0tuDiY8C3ctxq1tqvaCgkFb8cCA/edit?usp=sharing"",""กาฬสินธุ์!L334"")"),168000)</f>
        <v>168000</v>
      </c>
      <c r="M439" s="169"/>
      <c r="N439" s="169">
        <f ca="1">IFERROR(__xludf.DUMMYFUNCTION("IMPORTRANGE(""https://docs.google.com/spreadsheets/d/1XL5vhW3sbDhbH9Cz0tuDiY8C3ctxq1tqvaCgkFb8cCA/edit?usp=sharing"",""กาฬสินธุ์!M334"")"),104395)</f>
        <v>104395</v>
      </c>
      <c r="O439" s="169">
        <f t="shared" ca="1" si="114"/>
        <v>62.139880952380949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IFERROR(__xludf.DUMMYFUNCTION("IMPORTRANGE(""https://docs.google.com/spreadsheets/d/1XL5vhW3sbDhbH9Cz0tuDiY8C3ctxq1tqvaCgkFb8cCA/edit?usp=sharing"",""กาฬสินธุ์!M335"")"),68275)</f>
        <v>68275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IFERROR(__xludf.DUMMYFUNCTION("IMPORTRANGE(""https://docs.google.com/spreadsheets/d/1XL5vhW3sbDhbH9Cz0tuDiY8C3ctxq1tqvaCgkFb8cCA/edit?usp=sharing"",""กาฬสินธุ์!M336"")"),0)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IFERROR(__xludf.DUMMYFUNCTION("IMPORTRANGE(""https://docs.google.com/spreadsheets/d/1XL5vhW3sbDhbH9Cz0tuDiY8C3ctxq1tqvaCgkFb8cCA/edit?usp=sharing"",""กาฬสินธุ์!M337"")"),0)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IFERROR(__xludf.DUMMYFUNCTION("IMPORTRANGE(""https://docs.google.com/spreadsheets/d/1XL5vhW3sbDhbH9Cz0tuDiY8C3ctxq1tqvaCgkFb8cCA/edit?usp=sharing"",""กาฬสินธุ์!M338"")"),36120)</f>
        <v>36120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IFERROR(__xludf.DUMMYFUNCTION("IMPORTRANGE(""https://docs.google.com/spreadsheets/d/1XL5vhW3sbDhbH9Cz0tuDiY8C3ctxq1tqvaCgkFb8cCA/edit?usp=sharing"",""กาฬสินธุ์!J340"")"),0)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IFERROR(__xludf.DUMMYFUNCTION("IMPORTRANGE(""https://docs.google.com/spreadsheets/d/1XL5vhW3sbDhbH9Cz0tuDiY8C3ctxq1tqvaCgkFb8cCA/edit?usp=sharing"",""กาฬสินธุ์!J341"")"),1)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IFERROR(__xludf.DUMMYFUNCTION("IMPORTRANGE(""https://docs.google.com/spreadsheets/d/1XL5vhW3sbDhbH9Cz0tuDiY8C3ctxq1tqvaCgkFb8cCA/edit?usp=sharing"",""กาฬสินธุ์!J342"")"),1)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IFERROR(__xludf.DUMMYFUNCTION("IMPORTRANGE(""https://docs.google.com/spreadsheets/d/1XL5vhW3sbDhbH9Cz0tuDiY8C3ctxq1tqvaCgkFb8cCA/edit?usp=sharing"",""กาฬสินธุ์!J343"")"),1)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IFERROR(__xludf.DUMMYFUNCTION("IMPORTRANGE(""https://docs.google.com/spreadsheets/d/1XL5vhW3sbDhbH9Cz0tuDiY8C3ctxq1tqvaCgkFb8cCA/edit?usp=sharing"",""กาฬสินธุ์!I344"")"),45)</f>
        <v>45</v>
      </c>
      <c r="J449" s="201">
        <f ca="1">IFERROR(__xludf.DUMMYFUNCTION("IMPORTRANGE(""https://docs.google.com/spreadsheets/d/1XL5vhW3sbDhbH9Cz0tuDiY8C3ctxq1tqvaCgkFb8cCA/edit?usp=sharing"",""กาฬสินธุ์!J344"")"),25)</f>
        <v>25</v>
      </c>
      <c r="K449" s="163">
        <f t="shared" ref="K449:K452" ca="1" si="115">IF(I449&gt;0,J449*100/I449,0)</f>
        <v>55.555555555555557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IFERROR(__xludf.DUMMYFUNCTION("IMPORTRANGE(""https://docs.google.com/spreadsheets/d/1XL5vhW3sbDhbH9Cz0tuDiY8C3ctxq1tqvaCgkFb8cCA/edit?usp=sharing"",""กาฬสินธุ์!I345"")"),20)</f>
        <v>20</v>
      </c>
      <c r="J450" s="189">
        <f ca="1">IFERROR(__xludf.DUMMYFUNCTION("IMPORTRANGE(""https://docs.google.com/spreadsheets/d/1XL5vhW3sbDhbH9Cz0tuDiY8C3ctxq1tqvaCgkFb8cCA/edit?usp=sharing"",""กาฬสินธุ์!J345"")"),0)</f>
        <v>0</v>
      </c>
      <c r="K450" s="163">
        <f t="shared" ca="1" si="115"/>
        <v>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IFERROR(__xludf.DUMMYFUNCTION("IMPORTRANGE(""https://docs.google.com/spreadsheets/d/1XL5vhW3sbDhbH9Cz0tuDiY8C3ctxq1tqvaCgkFb8cCA/edit?usp=sharing"",""กาฬสินธุ์!I346"")"),25)</f>
        <v>25</v>
      </c>
      <c r="J451" s="188">
        <f ca="1">IFERROR(__xludf.DUMMYFUNCTION("IMPORTRANGE(""https://docs.google.com/spreadsheets/d/1XL5vhW3sbDhbH9Cz0tuDiY8C3ctxq1tqvaCgkFb8cCA/edit?usp=sharing"",""กาฬสินธุ์!J346"")"),25)</f>
        <v>25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IFERROR(__xludf.DUMMYFUNCTION("IMPORTRANGE(""https://docs.google.com/spreadsheets/d/1XL5vhW3sbDhbH9Cz0tuDiY8C3ctxq1tqvaCgkFb8cCA/edit?usp=sharing"",""กาฬสินธุ์!I347"")"),0)</f>
        <v>0</v>
      </c>
      <c r="J452" s="188">
        <f ca="1">IFERROR(__xludf.DUMMYFUNCTION("IMPORTRANGE(""https://docs.google.com/spreadsheets/d/1XL5vhW3sbDhbH9Cz0tuDiY8C3ctxq1tqvaCgkFb8cCA/edit?usp=sharing"",""กาฬสินธุ์!J347"")"),0)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IFERROR(__xludf.DUMMYFUNCTION("IMPORTRANGE(""https://docs.google.com/spreadsheets/d/1XL5vhW3sbDhbH9Cz0tuDiY8C3ctxq1tqvaCgkFb8cCA/edit?usp=sharing"",""กาฬสินธุ์!J348"")"),0)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IFERROR(__xludf.DUMMYFUNCTION("IMPORTRANGE(""https://docs.google.com/spreadsheets/d/1XL5vhW3sbDhbH9Cz0tuDiY8C3ctxq1tqvaCgkFb8cCA/edit?usp=sharing"",""กาฬสินธุ์!J349"")"),0)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IFERROR(__xludf.DUMMYFUNCTION("IMPORTRANGE(""https://docs.google.com/spreadsheets/d/1XL5vhW3sbDhbH9Cz0tuDiY8C3ctxq1tqvaCgkFb8cCA/edit?usp=sharing"",""กาฬสินธุ์!I350"")"),26881)</f>
        <v>26881</v>
      </c>
      <c r="J455" s="371">
        <f ca="1">IFERROR(__xludf.DUMMYFUNCTION("IMPORTRANGE(""https://docs.google.com/spreadsheets/d/1XL5vhW3sbDhbH9Cz0tuDiY8C3ctxq1tqvaCgkFb8cCA/edit?usp=sharing"",""กาฬสินธุ์!J350"")"),0)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IFERROR(__xludf.DUMMYFUNCTION("IMPORTRANGE(""https://docs.google.com/spreadsheets/d/1XL5vhW3sbDhbH9Cz0tuDiY8C3ctxq1tqvaCgkFb8cCA/edit?usp=sharing"",""กาฬสินธุ์!L350"")"),211610)</f>
        <v>211610</v>
      </c>
      <c r="M455" s="373"/>
      <c r="N455" s="373">
        <f ca="1">IFERROR(__xludf.DUMMYFUNCTION("IMPORTRANGE(""https://docs.google.com/spreadsheets/d/1XL5vhW3sbDhbH9Cz0tuDiY8C3ctxq1tqvaCgkFb8cCA/edit?usp=sharing"",""กาฬสินธุ์!M350"")"),55780)</f>
        <v>55780</v>
      </c>
      <c r="O455" s="373">
        <f t="shared" ref="O455:O459" ca="1" si="116">+IF(L455&gt;0,N455*100/L455,0)</f>
        <v>26.359812863286233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IFERROR(__xludf.DUMMYFUNCTION("IMPORTRANGE(""https://docs.google.com/spreadsheets/d/1XL5vhW3sbDhbH9Cz0tuDiY8C3ctxq1tqvaCgkFb8cCA/edit?usp=sharing"",""กาฬสินธุ์!L351"")"),0)</f>
        <v>0</v>
      </c>
      <c r="M456" s="164"/>
      <c r="N456" s="169">
        <f ca="1">IFERROR(__xludf.DUMMYFUNCTION("IMPORTRANGE(""https://docs.google.com/spreadsheets/d/1XL5vhW3sbDhbH9Cz0tuDiY8C3ctxq1tqvaCgkFb8cCA/edit?usp=sharing"",""กาฬสินธุ์!M351"")"),0)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IFERROR(__xludf.DUMMYFUNCTION("IMPORTRANGE(""https://docs.google.com/spreadsheets/d/1XL5vhW3sbDhbH9Cz0tuDiY8C3ctxq1tqvaCgkFb8cCA/edit?usp=sharing"",""กาฬสินธุ์!L352"")"),211610)</f>
        <v>211610</v>
      </c>
      <c r="M457" s="165"/>
      <c r="N457" s="169">
        <f ca="1">IFERROR(__xludf.DUMMYFUNCTION("IMPORTRANGE(""https://docs.google.com/spreadsheets/d/1XL5vhW3sbDhbH9Cz0tuDiY8C3ctxq1tqvaCgkFb8cCA/edit?usp=sharing"",""กาฬสินธุ์!M352"")"),55780)</f>
        <v>55780</v>
      </c>
      <c r="O457" s="169">
        <f t="shared" ca="1" si="116"/>
        <v>26.359812863286233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IFERROR(__xludf.DUMMYFUNCTION("IMPORTRANGE(""https://docs.google.com/spreadsheets/d/1XL5vhW3sbDhbH9Cz0tuDiY8C3ctxq1tqvaCgkFb8cCA/edit?usp=sharing"",""กาฬสินธุ์!L353"")"),0)</f>
        <v>0</v>
      </c>
      <c r="M458" s="169"/>
      <c r="N458" s="169">
        <f ca="1">IFERROR(__xludf.DUMMYFUNCTION("IMPORTRANGE(""https://docs.google.com/spreadsheets/d/1XL5vhW3sbDhbH9Cz0tuDiY8C3ctxq1tqvaCgkFb8cCA/edit?usp=sharing"",""กาฬสินธุ์!M353"")"),0)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IFERROR(__xludf.DUMMYFUNCTION("IMPORTRANGE(""https://docs.google.com/spreadsheets/d/1XL5vhW3sbDhbH9Cz0tuDiY8C3ctxq1tqvaCgkFb8cCA/edit?usp=sharing"",""กาฬสินธุ์!L354"")"),211610)</f>
        <v>211610</v>
      </c>
      <c r="M459" s="169"/>
      <c r="N459" s="169">
        <f ca="1">IFERROR(__xludf.DUMMYFUNCTION("IMPORTRANGE(""https://docs.google.com/spreadsheets/d/1XL5vhW3sbDhbH9Cz0tuDiY8C3ctxq1tqvaCgkFb8cCA/edit?usp=sharing"",""กาฬสินธุ์!M354"")"),55780)</f>
        <v>55780</v>
      </c>
      <c r="O459" s="169">
        <f t="shared" ca="1" si="116"/>
        <v>26.359812863286233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IFERROR(__xludf.DUMMYFUNCTION("IMPORTRANGE(""https://docs.google.com/spreadsheets/d/1XL5vhW3sbDhbH9Cz0tuDiY8C3ctxq1tqvaCgkFb8cCA/edit?usp=sharing"",""กาฬสินธุ์!M355"")"),0)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IFERROR(__xludf.DUMMYFUNCTION("IMPORTRANGE(""https://docs.google.com/spreadsheets/d/1XL5vhW3sbDhbH9Cz0tuDiY8C3ctxq1tqvaCgkFb8cCA/edit?usp=sharing"",""กาฬสินธุ์!M356"")"),0)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IFERROR(__xludf.DUMMYFUNCTION("IMPORTRANGE(""https://docs.google.com/spreadsheets/d/1XL5vhW3sbDhbH9Cz0tuDiY8C3ctxq1tqvaCgkFb8cCA/edit?usp=sharing"",""กาฬสินธุ์!M357"")"),0)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IFERROR(__xludf.DUMMYFUNCTION("IMPORTRANGE(""https://docs.google.com/spreadsheets/d/1XL5vhW3sbDhbH9Cz0tuDiY8C3ctxq1tqvaCgkFb8cCA/edit?usp=sharing"",""กาฬสินธุ์!M358"")"),55780)</f>
        <v>55780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IFERROR(__xludf.DUMMYFUNCTION("IMPORTRANGE(""https://docs.google.com/spreadsheets/d/1XL5vhW3sbDhbH9Cz0tuDiY8C3ctxq1tqvaCgkFb8cCA/edit?usp=sharing"",""กาฬสินธุ์!I359"")"),26881)</f>
        <v>26881</v>
      </c>
      <c r="J464" s="267">
        <f ca="1">IFERROR(__xludf.DUMMYFUNCTION("IMPORTRANGE(""https://docs.google.com/spreadsheets/d/1XL5vhW3sbDhbH9Cz0tuDiY8C3ctxq1tqvaCgkFb8cCA/edit?usp=sharing"",""กาฬสินธุ์!J359"")"),0)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IFERROR(__xludf.DUMMYFUNCTION("IMPORTRANGE(""https://docs.google.com/spreadsheets/d/1XL5vhW3sbDhbH9Cz0tuDiY8C3ctxq1tqvaCgkFb8cCA/edit?usp=sharing"",""กาฬสินธุ์!I360"")"),26881)</f>
        <v>26881</v>
      </c>
      <c r="J465" s="420">
        <f ca="1">IFERROR(__xludf.DUMMYFUNCTION("IMPORTRANGE(""https://docs.google.com/spreadsheets/d/1XL5vhW3sbDhbH9Cz0tuDiY8C3ctxq1tqvaCgkFb8cCA/edit?usp=sharing"",""กาฬสินธุ์!J360"")"),29120)</f>
        <v>29120</v>
      </c>
      <c r="K465" s="202">
        <f t="shared" ca="1" si="117"/>
        <v>108.32930322532644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IFERROR(__xludf.DUMMYFUNCTION("IMPORTRANGE(""https://docs.google.com/spreadsheets/d/1XL5vhW3sbDhbH9Cz0tuDiY8C3ctxq1tqvaCgkFb8cCA/edit?usp=sharing"",""กาฬสินธุ์!I361"")"),3192)</f>
        <v>3192</v>
      </c>
      <c r="J466" s="420">
        <f ca="1">IFERROR(__xludf.DUMMYFUNCTION("IMPORTRANGE(""https://docs.google.com/spreadsheets/d/1XL5vhW3sbDhbH9Cz0tuDiY8C3ctxq1tqvaCgkFb8cCA/edit?usp=sharing"",""กาฬสินธุ์!J361"")"),3193)</f>
        <v>3193</v>
      </c>
      <c r="K466" s="202">
        <f t="shared" ca="1" si="117"/>
        <v>100.031328320802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IFERROR(__xludf.DUMMYFUNCTION("IMPORTRANGE(""https://docs.google.com/spreadsheets/d/1XL5vhW3sbDhbH9Cz0tuDiY8C3ctxq1tqvaCgkFb8cCA/edit?usp=sharing"",""กาฬสินธุ์!I362"")"),0)</f>
        <v>0</v>
      </c>
      <c r="J467" s="189">
        <f ca="1">IFERROR(__xludf.DUMMYFUNCTION("IMPORTRANGE(""https://docs.google.com/spreadsheets/d/1XL5vhW3sbDhbH9Cz0tuDiY8C3ctxq1tqvaCgkFb8cCA/edit?usp=sharing"",""กาฬสินธุ์!J362"")"),25400)</f>
        <v>25400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IFERROR(__xludf.DUMMYFUNCTION("IMPORTRANGE(""https://docs.google.com/spreadsheets/d/1XL5vhW3sbDhbH9Cz0tuDiY8C3ctxq1tqvaCgkFb8cCA/edit?usp=sharing"",""กาฬสินธุ์!I363"")"),0)</f>
        <v>0</v>
      </c>
      <c r="J468" s="189">
        <f ca="1">IFERROR(__xludf.DUMMYFUNCTION("IMPORTRANGE(""https://docs.google.com/spreadsheets/d/1XL5vhW3sbDhbH9Cz0tuDiY8C3ctxq1tqvaCgkFb8cCA/edit?usp=sharing"",""กาฬสินธุ์!J363"")"),2859)</f>
        <v>2859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IFERROR(__xludf.DUMMYFUNCTION("IMPORTRANGE(""https://docs.google.com/spreadsheets/d/1XL5vhW3sbDhbH9Cz0tuDiY8C3ctxq1tqvaCgkFb8cCA/edit?usp=sharing"",""กาฬสินธุ์!I364"")"),0)</f>
        <v>0</v>
      </c>
      <c r="J469" s="189">
        <f ca="1">IFERROR(__xludf.DUMMYFUNCTION("IMPORTRANGE(""https://docs.google.com/spreadsheets/d/1XL5vhW3sbDhbH9Cz0tuDiY8C3ctxq1tqvaCgkFb8cCA/edit?usp=sharing"",""กาฬสินธุ์!J364"")"),2410)</f>
        <v>2410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IFERROR(__xludf.DUMMYFUNCTION("IMPORTRANGE(""https://docs.google.com/spreadsheets/d/1XL5vhW3sbDhbH9Cz0tuDiY8C3ctxq1tqvaCgkFb8cCA/edit?usp=sharing"",""กาฬสินธุ์!I365"")"),0)</f>
        <v>0</v>
      </c>
      <c r="J470" s="189">
        <f ca="1">IFERROR(__xludf.DUMMYFUNCTION("IMPORTRANGE(""https://docs.google.com/spreadsheets/d/1XL5vhW3sbDhbH9Cz0tuDiY8C3ctxq1tqvaCgkFb8cCA/edit?usp=sharing"",""กาฬสินธุ์!J365"")"),234)</f>
        <v>234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IFERROR(__xludf.DUMMYFUNCTION("IMPORTRANGE(""https://docs.google.com/spreadsheets/d/1XL5vhW3sbDhbH9Cz0tuDiY8C3ctxq1tqvaCgkFb8cCA/edit?usp=sharing"",""กาฬสินธุ์!I366"")"),0)</f>
        <v>0</v>
      </c>
      <c r="J471" s="189">
        <f ca="1">IFERROR(__xludf.DUMMYFUNCTION("IMPORTRANGE(""https://docs.google.com/spreadsheets/d/1XL5vhW3sbDhbH9Cz0tuDiY8C3ctxq1tqvaCgkFb8cCA/edit?usp=sharing"",""กาฬสินธุ์!J366"")"),1310)</f>
        <v>1310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IFERROR(__xludf.DUMMYFUNCTION("IMPORTRANGE(""https://docs.google.com/spreadsheets/d/1XL5vhW3sbDhbH9Cz0tuDiY8C3ctxq1tqvaCgkFb8cCA/edit?usp=sharing"",""กาฬสินธุ์!I367"")"),0)</f>
        <v>0</v>
      </c>
      <c r="J472" s="189">
        <f ca="1">IFERROR(__xludf.DUMMYFUNCTION("IMPORTRANGE(""https://docs.google.com/spreadsheets/d/1XL5vhW3sbDhbH9Cz0tuDiY8C3ctxq1tqvaCgkFb8cCA/edit?usp=sharing"",""กาฬสินธุ์!J367"")"),100)</f>
        <v>100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IFERROR(__xludf.DUMMYFUNCTION("IMPORTRANGE(""https://docs.google.com/spreadsheets/d/1XL5vhW3sbDhbH9Cz0tuDiY8C3ctxq1tqvaCgkFb8cCA/edit?usp=sharing"",""กาฬสินธุ์!I368"")"),26881)</f>
        <v>26881</v>
      </c>
      <c r="J473" s="420">
        <f ca="1">IFERROR(__xludf.DUMMYFUNCTION("IMPORTRANGE(""https://docs.google.com/spreadsheets/d/1XL5vhW3sbDhbH9Cz0tuDiY8C3ctxq1tqvaCgkFb8cCA/edit?usp=sharing"",""กาฬสินธุ์!J368"")"),2465)</f>
        <v>2465</v>
      </c>
      <c r="K473" s="202">
        <f t="shared" ca="1" si="117"/>
        <v>9.1700457572262941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IFERROR(__xludf.DUMMYFUNCTION("IMPORTRANGE(""https://docs.google.com/spreadsheets/d/1XL5vhW3sbDhbH9Cz0tuDiY8C3ctxq1tqvaCgkFb8cCA/edit?usp=sharing"",""กาฬสินธุ์!I369"")"),3192)</f>
        <v>3192</v>
      </c>
      <c r="J474" s="420">
        <f ca="1">IFERROR(__xludf.DUMMYFUNCTION("IMPORTRANGE(""https://docs.google.com/spreadsheets/d/1XL5vhW3sbDhbH9Cz0tuDiY8C3ctxq1tqvaCgkFb8cCA/edit?usp=sharing"",""กาฬสินธุ์!J369"")"),281)</f>
        <v>281</v>
      </c>
      <c r="K474" s="202">
        <f t="shared" ca="1" si="117"/>
        <v>8.803258145363408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IFERROR(__xludf.DUMMYFUNCTION("IMPORTRANGE(""https://docs.google.com/spreadsheets/d/1XL5vhW3sbDhbH9Cz0tuDiY8C3ctxq1tqvaCgkFb8cCA/edit?usp=sharing"",""กาฬสินธุ์!I370"")"),0)</f>
        <v>0</v>
      </c>
      <c r="J475" s="189">
        <f ca="1">IFERROR(__xludf.DUMMYFUNCTION("IMPORTRANGE(""https://docs.google.com/spreadsheets/d/1XL5vhW3sbDhbH9Cz0tuDiY8C3ctxq1tqvaCgkFb8cCA/edit?usp=sharing"",""กาฬสินธุ์!J370"")"),2272)</f>
        <v>2272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IFERROR(__xludf.DUMMYFUNCTION("IMPORTRANGE(""https://docs.google.com/spreadsheets/d/1XL5vhW3sbDhbH9Cz0tuDiY8C3ctxq1tqvaCgkFb8cCA/edit?usp=sharing"",""กาฬสินธุ์!I371"")"),0)</f>
        <v>0</v>
      </c>
      <c r="J476" s="189">
        <f ca="1">IFERROR(__xludf.DUMMYFUNCTION("IMPORTRANGE(""https://docs.google.com/spreadsheets/d/1XL5vhW3sbDhbH9Cz0tuDiY8C3ctxq1tqvaCgkFb8cCA/edit?usp=sharing"",""กาฬสินธุ์!J371"")"),263)</f>
        <v>263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IFERROR(__xludf.DUMMYFUNCTION("IMPORTRANGE(""https://docs.google.com/spreadsheets/d/1XL5vhW3sbDhbH9Cz0tuDiY8C3ctxq1tqvaCgkFb8cCA/edit?usp=sharing"",""กาฬสินธุ์!I372"")"),0)</f>
        <v>0</v>
      </c>
      <c r="J477" s="189">
        <f ca="1">IFERROR(__xludf.DUMMYFUNCTION("IMPORTRANGE(""https://docs.google.com/spreadsheets/d/1XL5vhW3sbDhbH9Cz0tuDiY8C3ctxq1tqvaCgkFb8cCA/edit?usp=sharing"",""กาฬสินธุ์!J372"")"),88)</f>
        <v>88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IFERROR(__xludf.DUMMYFUNCTION("IMPORTRANGE(""https://docs.google.com/spreadsheets/d/1XL5vhW3sbDhbH9Cz0tuDiY8C3ctxq1tqvaCgkFb8cCA/edit?usp=sharing"",""กาฬสินธุ์!I373"")"),0)</f>
        <v>0</v>
      </c>
      <c r="J478" s="189">
        <f ca="1">IFERROR(__xludf.DUMMYFUNCTION("IMPORTRANGE(""https://docs.google.com/spreadsheets/d/1XL5vhW3sbDhbH9Cz0tuDiY8C3ctxq1tqvaCgkFb8cCA/edit?usp=sharing"",""กาฬสินธุ์!J373"")"),6)</f>
        <v>6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IFERROR(__xludf.DUMMYFUNCTION("IMPORTRANGE(""https://docs.google.com/spreadsheets/d/1XL5vhW3sbDhbH9Cz0tuDiY8C3ctxq1tqvaCgkFb8cCA/edit?usp=sharing"",""กาฬสินธุ์!I374"")"),0)</f>
        <v>0</v>
      </c>
      <c r="J479" s="189">
        <f ca="1">IFERROR(__xludf.DUMMYFUNCTION("IMPORTRANGE(""https://docs.google.com/spreadsheets/d/1XL5vhW3sbDhbH9Cz0tuDiY8C3ctxq1tqvaCgkFb8cCA/edit?usp=sharing"",""กาฬสินธุ์!J374"")"),105)</f>
        <v>105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IFERROR(__xludf.DUMMYFUNCTION("IMPORTRANGE(""https://docs.google.com/spreadsheets/d/1XL5vhW3sbDhbH9Cz0tuDiY8C3ctxq1tqvaCgkFb8cCA/edit?usp=sharing"",""กาฬสินธุ์!I375"")"),0)</f>
        <v>0</v>
      </c>
      <c r="J480" s="189">
        <f ca="1">IFERROR(__xludf.DUMMYFUNCTION("IMPORTRANGE(""https://docs.google.com/spreadsheets/d/1XL5vhW3sbDhbH9Cz0tuDiY8C3ctxq1tqvaCgkFb8cCA/edit?usp=sharing"",""กาฬสินธุ์!J375"")"),12)</f>
        <v>12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IFERROR(__xludf.DUMMYFUNCTION("IMPORTRANGE(""https://docs.google.com/spreadsheets/d/1XL5vhW3sbDhbH9Cz0tuDiY8C3ctxq1tqvaCgkFb8cCA/edit?usp=sharing"",""กาฬสินธุ์!I376"")"),26881)</f>
        <v>26881</v>
      </c>
      <c r="J481" s="420">
        <f ca="1">IFERROR(__xludf.DUMMYFUNCTION("IMPORTRANGE(""https://docs.google.com/spreadsheets/d/1XL5vhW3sbDhbH9Cz0tuDiY8C3ctxq1tqvaCgkFb8cCA/edit?usp=sharing"",""กาฬสินธุ์!J376"")"),0)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IFERROR(__xludf.DUMMYFUNCTION("IMPORTRANGE(""https://docs.google.com/spreadsheets/d/1XL5vhW3sbDhbH9Cz0tuDiY8C3ctxq1tqvaCgkFb8cCA/edit?usp=sharing"",""กาฬสินธุ์!I377"")"),3192)</f>
        <v>3192</v>
      </c>
      <c r="J482" s="420">
        <f ca="1">IFERROR(__xludf.DUMMYFUNCTION("IMPORTRANGE(""https://docs.google.com/spreadsheets/d/1XL5vhW3sbDhbH9Cz0tuDiY8C3ctxq1tqvaCgkFb8cCA/edit?usp=sharing"",""กาฬสินธุ์!J377"")"),0)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IFERROR(__xludf.DUMMYFUNCTION("IMPORTRANGE(""https://docs.google.com/spreadsheets/d/1XL5vhW3sbDhbH9Cz0tuDiY8C3ctxq1tqvaCgkFb8cCA/edit?usp=sharing"",""กาฬสินธุ์!I378"")"),0)</f>
        <v>0</v>
      </c>
      <c r="J483" s="189">
        <f ca="1">IFERROR(__xludf.DUMMYFUNCTION("IMPORTRANGE(""https://docs.google.com/spreadsheets/d/1XL5vhW3sbDhbH9Cz0tuDiY8C3ctxq1tqvaCgkFb8cCA/edit?usp=sharing"",""กาฬสินธุ์!J378"")"),0)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IFERROR(__xludf.DUMMYFUNCTION("IMPORTRANGE(""https://docs.google.com/spreadsheets/d/1XL5vhW3sbDhbH9Cz0tuDiY8C3ctxq1tqvaCgkFb8cCA/edit?usp=sharing"",""กาฬสินธุ์!I379"")"),0)</f>
        <v>0</v>
      </c>
      <c r="J484" s="189">
        <f ca="1">IFERROR(__xludf.DUMMYFUNCTION("IMPORTRANGE(""https://docs.google.com/spreadsheets/d/1XL5vhW3sbDhbH9Cz0tuDiY8C3ctxq1tqvaCgkFb8cCA/edit?usp=sharing"",""กาฬสินธุ์!J379"")"),0)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IFERROR(__xludf.DUMMYFUNCTION("IMPORTRANGE(""https://docs.google.com/spreadsheets/d/1XL5vhW3sbDhbH9Cz0tuDiY8C3ctxq1tqvaCgkFb8cCA/edit?usp=sharing"",""กาฬสินธุ์!I380"")"),0)</f>
        <v>0</v>
      </c>
      <c r="J485" s="189">
        <f ca="1">IFERROR(__xludf.DUMMYFUNCTION("IMPORTRANGE(""https://docs.google.com/spreadsheets/d/1XL5vhW3sbDhbH9Cz0tuDiY8C3ctxq1tqvaCgkFb8cCA/edit?usp=sharing"",""กาฬสินธุ์!J380"")"),0)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IFERROR(__xludf.DUMMYFUNCTION("IMPORTRANGE(""https://docs.google.com/spreadsheets/d/1XL5vhW3sbDhbH9Cz0tuDiY8C3ctxq1tqvaCgkFb8cCA/edit?usp=sharing"",""กาฬสินธุ์!I381"")"),0)</f>
        <v>0</v>
      </c>
      <c r="J486" s="189">
        <f ca="1">IFERROR(__xludf.DUMMYFUNCTION("IMPORTRANGE(""https://docs.google.com/spreadsheets/d/1XL5vhW3sbDhbH9Cz0tuDiY8C3ctxq1tqvaCgkFb8cCA/edit?usp=sharing"",""กาฬสินธุ์!J381"")"),0)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IFERROR(__xludf.DUMMYFUNCTION("IMPORTRANGE(""https://docs.google.com/spreadsheets/d/1XL5vhW3sbDhbH9Cz0tuDiY8C3ctxq1tqvaCgkFb8cCA/edit?usp=sharing"",""กาฬสินธุ์!I382"")"),0)</f>
        <v>0</v>
      </c>
      <c r="J487" s="420">
        <f ca="1">IFERROR(__xludf.DUMMYFUNCTION("IMPORTRANGE(""https://docs.google.com/spreadsheets/d/1XL5vhW3sbDhbH9Cz0tuDiY8C3ctxq1tqvaCgkFb8cCA/edit?usp=sharing"",""กาฬสินธุ์!J382"")"),0)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IFERROR(__xludf.DUMMYFUNCTION("IMPORTRANGE(""https://docs.google.com/spreadsheets/d/1XL5vhW3sbDhbH9Cz0tuDiY8C3ctxq1tqvaCgkFb8cCA/edit?usp=sharing"",""กาฬสินธุ์!I383"")"),0)</f>
        <v>0</v>
      </c>
      <c r="J488" s="420">
        <f ca="1">IFERROR(__xludf.DUMMYFUNCTION("IMPORTRANGE(""https://docs.google.com/spreadsheets/d/1XL5vhW3sbDhbH9Cz0tuDiY8C3ctxq1tqvaCgkFb8cCA/edit?usp=sharing"",""กาฬสินธุ์!J383"")"),0)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IFERROR(__xludf.DUMMYFUNCTION("IMPORTRANGE(""https://docs.google.com/spreadsheets/d/1XL5vhW3sbDhbH9Cz0tuDiY8C3ctxq1tqvaCgkFb8cCA/edit?usp=sharing"",""กาฬสินธุ์!I384"")"),0)</f>
        <v>0</v>
      </c>
      <c r="J489" s="189">
        <f ca="1">IFERROR(__xludf.DUMMYFUNCTION("IMPORTRANGE(""https://docs.google.com/spreadsheets/d/1XL5vhW3sbDhbH9Cz0tuDiY8C3ctxq1tqvaCgkFb8cCA/edit?usp=sharing"",""กาฬสินธุ์!J384"")"),0)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IFERROR(__xludf.DUMMYFUNCTION("IMPORTRANGE(""https://docs.google.com/spreadsheets/d/1XL5vhW3sbDhbH9Cz0tuDiY8C3ctxq1tqvaCgkFb8cCA/edit?usp=sharing"",""กาฬสินธุ์!I385"")"),0)</f>
        <v>0</v>
      </c>
      <c r="J490" s="189">
        <f ca="1">IFERROR(__xludf.DUMMYFUNCTION("IMPORTRANGE(""https://docs.google.com/spreadsheets/d/1XL5vhW3sbDhbH9Cz0tuDiY8C3ctxq1tqvaCgkFb8cCA/edit?usp=sharing"",""กาฬสินธุ์!J385"")"),0)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IFERROR(__xludf.DUMMYFUNCTION("IMPORTRANGE(""https://docs.google.com/spreadsheets/d/1XL5vhW3sbDhbH9Cz0tuDiY8C3ctxq1tqvaCgkFb8cCA/edit?usp=sharing"",""กาฬสินธุ์!I386"")"),0)</f>
        <v>0</v>
      </c>
      <c r="J491" s="189">
        <f ca="1">IFERROR(__xludf.DUMMYFUNCTION("IMPORTRANGE(""https://docs.google.com/spreadsheets/d/1XL5vhW3sbDhbH9Cz0tuDiY8C3ctxq1tqvaCgkFb8cCA/edit?usp=sharing"",""กาฬสินธุ์!J386"")"),0)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IFERROR(__xludf.DUMMYFUNCTION("IMPORTRANGE(""https://docs.google.com/spreadsheets/d/1XL5vhW3sbDhbH9Cz0tuDiY8C3ctxq1tqvaCgkFb8cCA/edit?usp=sharing"",""กาฬสินธุ์!I387"")"),0)</f>
        <v>0</v>
      </c>
      <c r="J492" s="189">
        <f ca="1">IFERROR(__xludf.DUMMYFUNCTION("IMPORTRANGE(""https://docs.google.com/spreadsheets/d/1XL5vhW3sbDhbH9Cz0tuDiY8C3ctxq1tqvaCgkFb8cCA/edit?usp=sharing"",""กาฬสินธุ์!J387"")"),0)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IFERROR(__xludf.DUMMYFUNCTION("IMPORTRANGE(""https://docs.google.com/spreadsheets/d/1XL5vhW3sbDhbH9Cz0tuDiY8C3ctxq1tqvaCgkFb8cCA/edit?usp=sharing"",""กาฬสินธุ์!I388"")"),0)</f>
        <v>0</v>
      </c>
      <c r="J493" s="189">
        <f ca="1">IFERROR(__xludf.DUMMYFUNCTION("IMPORTRANGE(""https://docs.google.com/spreadsheets/d/1XL5vhW3sbDhbH9Cz0tuDiY8C3ctxq1tqvaCgkFb8cCA/edit?usp=sharing"",""กาฬสินธุ์!J388"")"),0)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IFERROR(__xludf.DUMMYFUNCTION("IMPORTRANGE(""https://docs.google.com/spreadsheets/d/1XL5vhW3sbDhbH9Cz0tuDiY8C3ctxq1tqvaCgkFb8cCA/edit?usp=sharing"",""กาฬสินธุ์!I389"")"),0)</f>
        <v>0</v>
      </c>
      <c r="J494" s="436">
        <f ca="1">IFERROR(__xludf.DUMMYFUNCTION("IMPORTRANGE(""https://docs.google.com/spreadsheets/d/1XL5vhW3sbDhbH9Cz0tuDiY8C3ctxq1tqvaCgkFb8cCA/edit?usp=sharing"",""กาฬสินธุ์!J389"")"),0)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IFERROR(__xludf.DUMMYFUNCTION("IMPORTRANGE(""https://docs.google.com/spreadsheets/d/1XL5vhW3sbDhbH9Cz0tuDiY8C3ctxq1tqvaCgkFb8cCA/edit?usp=sharing"",""กาฬสินธุ์!I390"")"),0)</f>
        <v>0</v>
      </c>
      <c r="J495" s="436">
        <f ca="1">IFERROR(__xludf.DUMMYFUNCTION("IMPORTRANGE(""https://docs.google.com/spreadsheets/d/1XL5vhW3sbDhbH9Cz0tuDiY8C3ctxq1tqvaCgkFb8cCA/edit?usp=sharing"",""กาฬสินธุ์!J390"")"),0)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IFERROR(__xludf.DUMMYFUNCTION("IMPORTRANGE(""https://docs.google.com/spreadsheets/d/1XL5vhW3sbDhbH9Cz0tuDiY8C3ctxq1tqvaCgkFb8cCA/edit?usp=sharing"",""กาฬสินธุ์!I391"")"),0)</f>
        <v>0</v>
      </c>
      <c r="J496" s="436">
        <f ca="1">IFERROR(__xludf.DUMMYFUNCTION("IMPORTRANGE(""https://docs.google.com/spreadsheets/d/1XL5vhW3sbDhbH9Cz0tuDiY8C3ctxq1tqvaCgkFb8cCA/edit?usp=sharing"",""กาฬสินธุ์!J391"")"),0)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IFERROR(__xludf.DUMMYFUNCTION("IMPORTRANGE(""https://docs.google.com/spreadsheets/d/1XL5vhW3sbDhbH9Cz0tuDiY8C3ctxq1tqvaCgkFb8cCA/edit?usp=sharing"",""กาฬสินธุ์!I392"")"),1765)</f>
        <v>1765</v>
      </c>
      <c r="J497" s="443">
        <f ca="1">IFERROR(__xludf.DUMMYFUNCTION("IMPORTRANGE(""https://docs.google.com/spreadsheets/d/1XL5vhW3sbDhbH9Cz0tuDiY8C3ctxq1tqvaCgkFb8cCA/edit?usp=sharing"",""กาฬสินธุ์!J392"")"),641)</f>
        <v>641</v>
      </c>
      <c r="K497" s="444">
        <f t="shared" ca="1" si="117"/>
        <v>36.317280453257787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IFERROR(__xludf.DUMMYFUNCTION("IMPORTRANGE(""https://docs.google.com/spreadsheets/d/1XL5vhW3sbDhbH9Cz0tuDiY8C3ctxq1tqvaCgkFb8cCA/edit?usp=sharing"",""กาฬสินธุ์!I393"")"),1765)</f>
        <v>1765</v>
      </c>
      <c r="J498" s="420">
        <f ca="1">IFERROR(__xludf.DUMMYFUNCTION("IMPORTRANGE(""https://docs.google.com/spreadsheets/d/1XL5vhW3sbDhbH9Cz0tuDiY8C3ctxq1tqvaCgkFb8cCA/edit?usp=sharing"",""กาฬสินธุ์!J393"")"),641)</f>
        <v>641</v>
      </c>
      <c r="K498" s="202">
        <f t="shared" ca="1" si="117"/>
        <v>36.317280453257787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IFERROR(__xludf.DUMMYFUNCTION("IMPORTRANGE(""https://docs.google.com/spreadsheets/d/1XL5vhW3sbDhbH9Cz0tuDiY8C3ctxq1tqvaCgkFb8cCA/edit?usp=sharing"",""กาฬสินธุ์!I394"")"),172)</f>
        <v>172</v>
      </c>
      <c r="J499" s="420">
        <f ca="1">IFERROR(__xludf.DUMMYFUNCTION("IMPORTRANGE(""https://docs.google.com/spreadsheets/d/1XL5vhW3sbDhbH9Cz0tuDiY8C3ctxq1tqvaCgkFb8cCA/edit?usp=sharing"",""กาฬสินธุ์!J394"")"),67)</f>
        <v>67</v>
      </c>
      <c r="K499" s="202">
        <f t="shared" ca="1" si="117"/>
        <v>38.953488372093027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IFERROR(__xludf.DUMMYFUNCTION("IMPORTRANGE(""https://docs.google.com/spreadsheets/d/1XL5vhW3sbDhbH9Cz0tuDiY8C3ctxq1tqvaCgkFb8cCA/edit?usp=sharing"",""กาฬสินธุ์!I395"")"),0)</f>
        <v>0</v>
      </c>
      <c r="J500" s="162">
        <f ca="1">IFERROR(__xludf.DUMMYFUNCTION("IMPORTRANGE(""https://docs.google.com/spreadsheets/d/1XL5vhW3sbDhbH9Cz0tuDiY8C3ctxq1tqvaCgkFb8cCA/edit?usp=sharing"",""กาฬสินธุ์!J395"")"),371)</f>
        <v>371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IFERROR(__xludf.DUMMYFUNCTION("IMPORTRANGE(""https://docs.google.com/spreadsheets/d/1XL5vhW3sbDhbH9Cz0tuDiY8C3ctxq1tqvaCgkFb8cCA/edit?usp=sharing"",""กาฬสินธุ์!I396"")"),0)</f>
        <v>0</v>
      </c>
      <c r="J501" s="162">
        <f ca="1">IFERROR(__xludf.DUMMYFUNCTION("IMPORTRANGE(""https://docs.google.com/spreadsheets/d/1XL5vhW3sbDhbH9Cz0tuDiY8C3ctxq1tqvaCgkFb8cCA/edit?usp=sharing"",""กาฬสินธุ์!J396"")"),34)</f>
        <v>34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IFERROR(__xludf.DUMMYFUNCTION("IMPORTRANGE(""https://docs.google.com/spreadsheets/d/1XL5vhW3sbDhbH9Cz0tuDiY8C3ctxq1tqvaCgkFb8cCA/edit?usp=sharing"",""กาฬสินธุ์!I397"")"),0)</f>
        <v>0</v>
      </c>
      <c r="J502" s="189">
        <f ca="1">IFERROR(__xludf.DUMMYFUNCTION("IMPORTRANGE(""https://docs.google.com/spreadsheets/d/1XL5vhW3sbDhbH9Cz0tuDiY8C3ctxq1tqvaCgkFb8cCA/edit?usp=sharing"",""กาฬสินธุ์!J397"")"),371)</f>
        <v>371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IFERROR(__xludf.DUMMYFUNCTION("IMPORTRANGE(""https://docs.google.com/spreadsheets/d/1XL5vhW3sbDhbH9Cz0tuDiY8C3ctxq1tqvaCgkFb8cCA/edit?usp=sharing"",""กาฬสินธุ์!I398"")"),0)</f>
        <v>0</v>
      </c>
      <c r="J503" s="198">
        <f ca="1">IFERROR(__xludf.DUMMYFUNCTION("IMPORTRANGE(""https://docs.google.com/spreadsheets/d/1XL5vhW3sbDhbH9Cz0tuDiY8C3ctxq1tqvaCgkFb8cCA/edit?usp=sharing"",""กาฬสินธุ์!J398"")"),34)</f>
        <v>34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IFERROR(__xludf.DUMMYFUNCTION("IMPORTRANGE(""https://docs.google.com/spreadsheets/d/1XL5vhW3sbDhbH9Cz0tuDiY8C3ctxq1tqvaCgkFb8cCA/edit?usp=sharing"",""กาฬสินธุ์!I399"")"),0)</f>
        <v>0</v>
      </c>
      <c r="J504" s="189">
        <f ca="1">IFERROR(__xludf.DUMMYFUNCTION("IMPORTRANGE(""https://docs.google.com/spreadsheets/d/1XL5vhW3sbDhbH9Cz0tuDiY8C3ctxq1tqvaCgkFb8cCA/edit?usp=sharing"",""กาฬสินธุ์!J399"")"),0)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IFERROR(__xludf.DUMMYFUNCTION("IMPORTRANGE(""https://docs.google.com/spreadsheets/d/1XL5vhW3sbDhbH9Cz0tuDiY8C3ctxq1tqvaCgkFb8cCA/edit?usp=sharing"",""กาฬสินธุ์!I400"")"),0)</f>
        <v>0</v>
      </c>
      <c r="J505" s="198">
        <f ca="1">IFERROR(__xludf.DUMMYFUNCTION("IMPORTRANGE(""https://docs.google.com/spreadsheets/d/1XL5vhW3sbDhbH9Cz0tuDiY8C3ctxq1tqvaCgkFb8cCA/edit?usp=sharing"",""กาฬสินธุ์!J400"")"),0)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IFERROR(__xludf.DUMMYFUNCTION("IMPORTRANGE(""https://docs.google.com/spreadsheets/d/1XL5vhW3sbDhbH9Cz0tuDiY8C3ctxq1tqvaCgkFb8cCA/edit?usp=sharing"",""กาฬสินธุ์!I401"")"),0)</f>
        <v>0</v>
      </c>
      <c r="J506" s="189">
        <f ca="1">IFERROR(__xludf.DUMMYFUNCTION("IMPORTRANGE(""https://docs.google.com/spreadsheets/d/1XL5vhW3sbDhbH9Cz0tuDiY8C3ctxq1tqvaCgkFb8cCA/edit?usp=sharing"",""กาฬสินธุ์!J401"")"),0)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IFERROR(__xludf.DUMMYFUNCTION("IMPORTRANGE(""https://docs.google.com/spreadsheets/d/1XL5vhW3sbDhbH9Cz0tuDiY8C3ctxq1tqvaCgkFb8cCA/edit?usp=sharing"",""กาฬสินธุ์!I402"")"),0)</f>
        <v>0</v>
      </c>
      <c r="J507" s="198">
        <f ca="1">IFERROR(__xludf.DUMMYFUNCTION("IMPORTRANGE(""https://docs.google.com/spreadsheets/d/1XL5vhW3sbDhbH9Cz0tuDiY8C3ctxq1tqvaCgkFb8cCA/edit?usp=sharing"",""กาฬสินธุ์!J402"")"),0)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IFERROR(__xludf.DUMMYFUNCTION("IMPORTRANGE(""https://docs.google.com/spreadsheets/d/1XL5vhW3sbDhbH9Cz0tuDiY8C3ctxq1tqvaCgkFb8cCA/edit?usp=sharing"",""กาฬสินธุ์!I403"")"),0)</f>
        <v>0</v>
      </c>
      <c r="J508" s="162">
        <f ca="1">IFERROR(__xludf.DUMMYFUNCTION("IMPORTRANGE(""https://docs.google.com/spreadsheets/d/1XL5vhW3sbDhbH9Cz0tuDiY8C3ctxq1tqvaCgkFb8cCA/edit?usp=sharing"",""กาฬสินธุ์!J403"")"),80)</f>
        <v>80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IFERROR(__xludf.DUMMYFUNCTION("IMPORTRANGE(""https://docs.google.com/spreadsheets/d/1XL5vhW3sbDhbH9Cz0tuDiY8C3ctxq1tqvaCgkFb8cCA/edit?usp=sharing"",""กาฬสินธุ์!I404"")"),0)</f>
        <v>0</v>
      </c>
      <c r="J509" s="162">
        <f ca="1">IFERROR(__xludf.DUMMYFUNCTION("IMPORTRANGE(""https://docs.google.com/spreadsheets/d/1XL5vhW3sbDhbH9Cz0tuDiY8C3ctxq1tqvaCgkFb8cCA/edit?usp=sharing"",""กาฬสินธุ์!J404"")"),10)</f>
        <v>10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IFERROR(__xludf.DUMMYFUNCTION("IMPORTRANGE(""https://docs.google.com/spreadsheets/d/1XL5vhW3sbDhbH9Cz0tuDiY8C3ctxq1tqvaCgkFb8cCA/edit?usp=sharing"",""กาฬสินธุ์!I405"")"),0)</f>
        <v>0</v>
      </c>
      <c r="J510" s="198">
        <f ca="1">IFERROR(__xludf.DUMMYFUNCTION("IMPORTRANGE(""https://docs.google.com/spreadsheets/d/1XL5vhW3sbDhbH9Cz0tuDiY8C3ctxq1tqvaCgkFb8cCA/edit?usp=sharing"",""กาฬสินธุ์!J405"")"),75)</f>
        <v>75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IFERROR(__xludf.DUMMYFUNCTION("IMPORTRANGE(""https://docs.google.com/spreadsheets/d/1XL5vhW3sbDhbH9Cz0tuDiY8C3ctxq1tqvaCgkFb8cCA/edit?usp=sharing"",""กาฬสินธุ์!I406"")"),0)</f>
        <v>0</v>
      </c>
      <c r="J511" s="198">
        <f ca="1">IFERROR(__xludf.DUMMYFUNCTION("IMPORTRANGE(""https://docs.google.com/spreadsheets/d/1XL5vhW3sbDhbH9Cz0tuDiY8C3ctxq1tqvaCgkFb8cCA/edit?usp=sharing"",""กาฬสินธุ์!J406"")"),9)</f>
        <v>9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IFERROR(__xludf.DUMMYFUNCTION("IMPORTRANGE(""https://docs.google.com/spreadsheets/d/1XL5vhW3sbDhbH9Cz0tuDiY8C3ctxq1tqvaCgkFb8cCA/edit?usp=sharing"",""กาฬสินธุ์!I407"")"),0)</f>
        <v>0</v>
      </c>
      <c r="J512" s="198">
        <f ca="1">IFERROR(__xludf.DUMMYFUNCTION("IMPORTRANGE(""https://docs.google.com/spreadsheets/d/1XL5vhW3sbDhbH9Cz0tuDiY8C3ctxq1tqvaCgkFb8cCA/edit?usp=sharing"",""กาฬสินธุ์!J407"")"),5)</f>
        <v>5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IFERROR(__xludf.DUMMYFUNCTION("IMPORTRANGE(""https://docs.google.com/spreadsheets/d/1XL5vhW3sbDhbH9Cz0tuDiY8C3ctxq1tqvaCgkFb8cCA/edit?usp=sharing"",""กาฬสินธุ์!I408"")"),0)</f>
        <v>0</v>
      </c>
      <c r="J513" s="198">
        <f ca="1">IFERROR(__xludf.DUMMYFUNCTION("IMPORTRANGE(""https://docs.google.com/spreadsheets/d/1XL5vhW3sbDhbH9Cz0tuDiY8C3ctxq1tqvaCgkFb8cCA/edit?usp=sharing"",""กาฬสินธุ์!J408"")"),1)</f>
        <v>1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IFERROR(__xludf.DUMMYFUNCTION("IMPORTRANGE(""https://docs.google.com/spreadsheets/d/1XL5vhW3sbDhbH9Cz0tuDiY8C3ctxq1tqvaCgkFb8cCA/edit?usp=sharing"",""กาฬสินธุ์!I409"")"),0)</f>
        <v>0</v>
      </c>
      <c r="J514" s="198">
        <f ca="1">IFERROR(__xludf.DUMMYFUNCTION("IMPORTRANGE(""https://docs.google.com/spreadsheets/d/1XL5vhW3sbDhbH9Cz0tuDiY8C3ctxq1tqvaCgkFb8cCA/edit?usp=sharing"",""กาฬสินธุ์!J409"")"),190)</f>
        <v>190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IFERROR(__xludf.DUMMYFUNCTION("IMPORTRANGE(""https://docs.google.com/spreadsheets/d/1XL5vhW3sbDhbH9Cz0tuDiY8C3ctxq1tqvaCgkFb8cCA/edit?usp=sharing"",""กาฬสินธุ์!I410"")"),0)</f>
        <v>0</v>
      </c>
      <c r="J515" s="198">
        <f ca="1">IFERROR(__xludf.DUMMYFUNCTION("IMPORTRANGE(""https://docs.google.com/spreadsheets/d/1XL5vhW3sbDhbH9Cz0tuDiY8C3ctxq1tqvaCgkFb8cCA/edit?usp=sharing"",""กาฬสินธุ์!J410"")"),23)</f>
        <v>23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IFERROR(__xludf.DUMMYFUNCTION("IMPORTRANGE(""https://docs.google.com/spreadsheets/d/1XL5vhW3sbDhbH9Cz0tuDiY8C3ctxq1tqvaCgkFb8cCA/edit?usp=sharing"",""กาฬสินธุ์!I411"")"),0)</f>
        <v>0</v>
      </c>
      <c r="J516" s="267">
        <f ca="1">IFERROR(__xludf.DUMMYFUNCTION("IMPORTRANGE(""https://docs.google.com/spreadsheets/d/1XL5vhW3sbDhbH9Cz0tuDiY8C3ctxq1tqvaCgkFb8cCA/edit?usp=sharing"",""กาฬสินธุ์!J411"")"),0)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IFERROR(__xludf.DUMMYFUNCTION("IMPORTRANGE(""https://docs.google.com/spreadsheets/d/1XL5vhW3sbDhbH9Cz0tuDiY8C3ctxq1tqvaCgkFb8cCA/edit?usp=sharing"",""กาฬสินธุ์!I412"")"),0)</f>
        <v>0</v>
      </c>
      <c r="J517" s="284">
        <f ca="1">IFERROR(__xludf.DUMMYFUNCTION("IMPORTRANGE(""https://docs.google.com/spreadsheets/d/1XL5vhW3sbDhbH9Cz0tuDiY8C3ctxq1tqvaCgkFb8cCA/edit?usp=sharing"",""กาฬสินธุ์!J412"")"),0)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IFERROR(__xludf.DUMMYFUNCTION("IMPORTRANGE(""https://docs.google.com/spreadsheets/d/1XL5vhW3sbDhbH9Cz0tuDiY8C3ctxq1tqvaCgkFb8cCA/edit?usp=sharing"",""กาฬสินธุ์!I413"")"),0)</f>
        <v>0</v>
      </c>
      <c r="J518" s="284">
        <f ca="1">IFERROR(__xludf.DUMMYFUNCTION("IMPORTRANGE(""https://docs.google.com/spreadsheets/d/1XL5vhW3sbDhbH9Cz0tuDiY8C3ctxq1tqvaCgkFb8cCA/edit?usp=sharing"",""กาฬสินธุ์!J413"")"),0)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IFERROR(__xludf.DUMMYFUNCTION("IMPORTRANGE(""https://docs.google.com/spreadsheets/d/1XL5vhW3sbDhbH9Cz0tuDiY8C3ctxq1tqvaCgkFb8cCA/edit?usp=sharing"",""กาฬสินธุ์!I414"")"),0)</f>
        <v>0</v>
      </c>
      <c r="J519" s="188">
        <f ca="1">IFERROR(__xludf.DUMMYFUNCTION("IMPORTRANGE(""https://docs.google.com/spreadsheets/d/1XL5vhW3sbDhbH9Cz0tuDiY8C3ctxq1tqvaCgkFb8cCA/edit?usp=sharing"",""กาฬสินธุ์!J414"")"),0)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IFERROR(__xludf.DUMMYFUNCTION("IMPORTRANGE(""https://docs.google.com/spreadsheets/d/1XL5vhW3sbDhbH9Cz0tuDiY8C3ctxq1tqvaCgkFb8cCA/edit?usp=sharing"",""กาฬสินธุ์!I415"")"),0)</f>
        <v>0</v>
      </c>
      <c r="J520" s="188">
        <f ca="1">IFERROR(__xludf.DUMMYFUNCTION("IMPORTRANGE(""https://docs.google.com/spreadsheets/d/1XL5vhW3sbDhbH9Cz0tuDiY8C3ctxq1tqvaCgkFb8cCA/edit?usp=sharing"",""กาฬสินธุ์!J415"")"),0)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IFERROR(__xludf.DUMMYFUNCTION("IMPORTRANGE(""https://docs.google.com/spreadsheets/d/1XL5vhW3sbDhbH9Cz0tuDiY8C3ctxq1tqvaCgkFb8cCA/edit?usp=sharing"",""กาฬสินธุ์!I416"")"),0)</f>
        <v>0</v>
      </c>
      <c r="J521" s="188">
        <f ca="1">IFERROR(__xludf.DUMMYFUNCTION("IMPORTRANGE(""https://docs.google.com/spreadsheets/d/1XL5vhW3sbDhbH9Cz0tuDiY8C3ctxq1tqvaCgkFb8cCA/edit?usp=sharing"",""กาฬสินธุ์!J416"")"),0)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IFERROR(__xludf.DUMMYFUNCTION("IMPORTRANGE(""https://docs.google.com/spreadsheets/d/1XL5vhW3sbDhbH9Cz0tuDiY8C3ctxq1tqvaCgkFb8cCA/edit?usp=sharing"",""กาฬสินธุ์!I417"")"),0)</f>
        <v>0</v>
      </c>
      <c r="J522" s="188">
        <f ca="1">IFERROR(__xludf.DUMMYFUNCTION("IMPORTRANGE(""https://docs.google.com/spreadsheets/d/1XL5vhW3sbDhbH9Cz0tuDiY8C3ctxq1tqvaCgkFb8cCA/edit?usp=sharing"",""กาฬสินธุ์!J417"")"),0)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IFERROR(__xludf.DUMMYFUNCTION("IMPORTRANGE(""https://docs.google.com/spreadsheets/d/1XL5vhW3sbDhbH9Cz0tuDiY8C3ctxq1tqvaCgkFb8cCA/edit?usp=sharing"",""กาฬสินธุ์!I418"")"),0)</f>
        <v>0</v>
      </c>
      <c r="J523" s="188">
        <f ca="1">IFERROR(__xludf.DUMMYFUNCTION("IMPORTRANGE(""https://docs.google.com/spreadsheets/d/1XL5vhW3sbDhbH9Cz0tuDiY8C3ctxq1tqvaCgkFb8cCA/edit?usp=sharing"",""กาฬสินธุ์!J418"")"),0)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IFERROR(__xludf.DUMMYFUNCTION("IMPORTRANGE(""https://docs.google.com/spreadsheets/d/1XL5vhW3sbDhbH9Cz0tuDiY8C3ctxq1tqvaCgkFb8cCA/edit?usp=sharing"",""กาฬสินธุ์!I419"")"),0)</f>
        <v>0</v>
      </c>
      <c r="J524" s="188">
        <f ca="1">IFERROR(__xludf.DUMMYFUNCTION("IMPORTRANGE(""https://docs.google.com/spreadsheets/d/1XL5vhW3sbDhbH9Cz0tuDiY8C3ctxq1tqvaCgkFb8cCA/edit?usp=sharing"",""กาฬสินธุ์!J419"")"),0)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IFERROR(__xludf.DUMMYFUNCTION("IMPORTRANGE(""https://docs.google.com/spreadsheets/d/1XL5vhW3sbDhbH9Cz0tuDiY8C3ctxq1tqvaCgkFb8cCA/edit?usp=sharing"",""กาฬสินธุ์!I420"")"),0)</f>
        <v>0</v>
      </c>
      <c r="J525" s="284">
        <f ca="1">IFERROR(__xludf.DUMMYFUNCTION("IMPORTRANGE(""https://docs.google.com/spreadsheets/d/1XL5vhW3sbDhbH9Cz0tuDiY8C3ctxq1tqvaCgkFb8cCA/edit?usp=sharing"",""กาฬสินธุ์!J420"")"),0)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IFERROR(__xludf.DUMMYFUNCTION("IMPORTRANGE(""https://docs.google.com/spreadsheets/d/1XL5vhW3sbDhbH9Cz0tuDiY8C3ctxq1tqvaCgkFb8cCA/edit?usp=sharing"",""กาฬสินธุ์!I421"")"),0)</f>
        <v>0</v>
      </c>
      <c r="J526" s="284">
        <f ca="1">IFERROR(__xludf.DUMMYFUNCTION("IMPORTRANGE(""https://docs.google.com/spreadsheets/d/1XL5vhW3sbDhbH9Cz0tuDiY8C3ctxq1tqvaCgkFb8cCA/edit?usp=sharing"",""กาฬสินธุ์!J421"")"),0)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IFERROR(__xludf.DUMMYFUNCTION("IMPORTRANGE(""https://docs.google.com/spreadsheets/d/1XL5vhW3sbDhbH9Cz0tuDiY8C3ctxq1tqvaCgkFb8cCA/edit?usp=sharing"",""กาฬสินธุ์!I422"")"),0)</f>
        <v>0</v>
      </c>
      <c r="J527" s="198">
        <f ca="1">IFERROR(__xludf.DUMMYFUNCTION("IMPORTRANGE(""https://docs.google.com/spreadsheets/d/1XL5vhW3sbDhbH9Cz0tuDiY8C3ctxq1tqvaCgkFb8cCA/edit?usp=sharing"",""กาฬสินธุ์!J422"")"),0)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IFERROR(__xludf.DUMMYFUNCTION("IMPORTRANGE(""https://docs.google.com/spreadsheets/d/1XL5vhW3sbDhbH9Cz0tuDiY8C3ctxq1tqvaCgkFb8cCA/edit?usp=sharing"",""กาฬสินธุ์!I423"")"),0)</f>
        <v>0</v>
      </c>
      <c r="J528" s="198">
        <f ca="1">IFERROR(__xludf.DUMMYFUNCTION("IMPORTRANGE(""https://docs.google.com/spreadsheets/d/1XL5vhW3sbDhbH9Cz0tuDiY8C3ctxq1tqvaCgkFb8cCA/edit?usp=sharing"",""กาฬสินธุ์!J423"")"),0)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IFERROR(__xludf.DUMMYFUNCTION("IMPORTRANGE(""https://docs.google.com/spreadsheets/d/1XL5vhW3sbDhbH9Cz0tuDiY8C3ctxq1tqvaCgkFb8cCA/edit?usp=sharing"",""กาฬสินธุ์!I424"")"),0)</f>
        <v>0</v>
      </c>
      <c r="J529" s="198">
        <f ca="1">IFERROR(__xludf.DUMMYFUNCTION("IMPORTRANGE(""https://docs.google.com/spreadsheets/d/1XL5vhW3sbDhbH9Cz0tuDiY8C3ctxq1tqvaCgkFb8cCA/edit?usp=sharing"",""กาฬสินธุ์!J424"")"),0)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IFERROR(__xludf.DUMMYFUNCTION("IMPORTRANGE(""https://docs.google.com/spreadsheets/d/1XL5vhW3sbDhbH9Cz0tuDiY8C3ctxq1tqvaCgkFb8cCA/edit?usp=sharing"",""กาฬสินธุ์!I425"")"),0)</f>
        <v>0</v>
      </c>
      <c r="J530" s="198">
        <f ca="1">IFERROR(__xludf.DUMMYFUNCTION("IMPORTRANGE(""https://docs.google.com/spreadsheets/d/1XL5vhW3sbDhbH9Cz0tuDiY8C3ctxq1tqvaCgkFb8cCA/edit?usp=sharing"",""กาฬสินธุ์!J425"")"),0)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IFERROR(__xludf.DUMMYFUNCTION("IMPORTRANGE(""https://docs.google.com/spreadsheets/d/1XL5vhW3sbDhbH9Cz0tuDiY8C3ctxq1tqvaCgkFb8cCA/edit?usp=sharing"",""กาฬสินธุ์!I426"")"),0)</f>
        <v>0</v>
      </c>
      <c r="J531" s="198">
        <f ca="1">IFERROR(__xludf.DUMMYFUNCTION("IMPORTRANGE(""https://docs.google.com/spreadsheets/d/1XL5vhW3sbDhbH9Cz0tuDiY8C3ctxq1tqvaCgkFb8cCA/edit?usp=sharing"",""กาฬสินธุ์!J426"")"),0)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IFERROR(__xludf.DUMMYFUNCTION("IMPORTRANGE(""https://docs.google.com/spreadsheets/d/1XL5vhW3sbDhbH9Cz0tuDiY8C3ctxq1tqvaCgkFb8cCA/edit?usp=sharing"",""กาฬสินธุ์!I427"")"),0)</f>
        <v>0</v>
      </c>
      <c r="J532" s="466">
        <f ca="1">IFERROR(__xludf.DUMMYFUNCTION("IMPORTRANGE(""https://docs.google.com/spreadsheets/d/1XL5vhW3sbDhbH9Cz0tuDiY8C3ctxq1tqvaCgkFb8cCA/edit?usp=sharing"",""กาฬสินธุ์!J427"")"),0)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IFERROR(__xludf.DUMMYFUNCTION("IMPORTRANGE(""https://docs.google.com/spreadsheets/d/1XL5vhW3sbDhbH9Cz0tuDiY8C3ctxq1tqvaCgkFb8cCA/edit?usp=sharing"",""กาฬสินธุ์!I428"")"),19)</f>
        <v>19</v>
      </c>
      <c r="J533" s="410">
        <f ca="1">IFERROR(__xludf.DUMMYFUNCTION("IMPORTRANGE(""https://docs.google.com/spreadsheets/d/1XL5vhW3sbDhbH9Cz0tuDiY8C3ctxq1tqvaCgkFb8cCA/edit?usp=sharing"",""กาฬสินธุ์!J428"")"),19)</f>
        <v>19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IFERROR(__xludf.DUMMYFUNCTION("IMPORTRANGE(""https://docs.google.com/spreadsheets/d/1XL5vhW3sbDhbH9Cz0tuDiY8C3ctxq1tqvaCgkFb8cCA/edit?usp=sharing"",""กาฬสินธุ์!L428"")"),31800)</f>
        <v>31800</v>
      </c>
      <c r="M533" s="412"/>
      <c r="N533" s="412">
        <f ca="1">IFERROR(__xludf.DUMMYFUNCTION("IMPORTRANGE(""https://docs.google.com/spreadsheets/d/1XL5vhW3sbDhbH9Cz0tuDiY8C3ctxq1tqvaCgkFb8cCA/edit?usp=sharing"",""กาฬสินธุ์!M428"")"),24034)</f>
        <v>24034</v>
      </c>
      <c r="O533" s="412">
        <f t="shared" ref="O533:O537" ca="1" si="118">+IF(L533&gt;0,N533*100/L533,0)</f>
        <v>75.578616352201252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IFERROR(__xludf.DUMMYFUNCTION("IMPORTRANGE(""https://docs.google.com/spreadsheets/d/1XL5vhW3sbDhbH9Cz0tuDiY8C3ctxq1tqvaCgkFb8cCA/edit?usp=sharing"",""กาฬสินธุ์!L429"")"),0)</f>
        <v>0</v>
      </c>
      <c r="M534" s="164"/>
      <c r="N534" s="169">
        <f ca="1">IFERROR(__xludf.DUMMYFUNCTION("IMPORTRANGE(""https://docs.google.com/spreadsheets/d/1XL5vhW3sbDhbH9Cz0tuDiY8C3ctxq1tqvaCgkFb8cCA/edit?usp=sharing"",""กาฬสินธุ์!M429"")"),0)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IFERROR(__xludf.DUMMYFUNCTION("IMPORTRANGE(""https://docs.google.com/spreadsheets/d/1XL5vhW3sbDhbH9Cz0tuDiY8C3ctxq1tqvaCgkFb8cCA/edit?usp=sharing"",""กาฬสินธุ์!L430"")"),31800)</f>
        <v>31800</v>
      </c>
      <c r="M535" s="165"/>
      <c r="N535" s="169">
        <f ca="1">IFERROR(__xludf.DUMMYFUNCTION("IMPORTRANGE(""https://docs.google.com/spreadsheets/d/1XL5vhW3sbDhbH9Cz0tuDiY8C3ctxq1tqvaCgkFb8cCA/edit?usp=sharing"",""กาฬสินธุ์!M430"")"),24034)</f>
        <v>24034</v>
      </c>
      <c r="O535" s="169">
        <f t="shared" ca="1" si="118"/>
        <v>75.578616352201252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IFERROR(__xludf.DUMMYFUNCTION("IMPORTRANGE(""https://docs.google.com/spreadsheets/d/1XL5vhW3sbDhbH9Cz0tuDiY8C3ctxq1tqvaCgkFb8cCA/edit?usp=sharing"",""กาฬสินธุ์!L431"")"),0)</f>
        <v>0</v>
      </c>
      <c r="M536" s="169"/>
      <c r="N536" s="169">
        <f ca="1">IFERROR(__xludf.DUMMYFUNCTION("IMPORTRANGE(""https://docs.google.com/spreadsheets/d/1XL5vhW3sbDhbH9Cz0tuDiY8C3ctxq1tqvaCgkFb8cCA/edit?usp=sharing"",""กาฬสินธุ์!M431"")"),0)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IFERROR(__xludf.DUMMYFUNCTION("IMPORTRANGE(""https://docs.google.com/spreadsheets/d/1XL5vhW3sbDhbH9Cz0tuDiY8C3ctxq1tqvaCgkFb8cCA/edit?usp=sharing"",""กาฬสินธุ์!L432"")"),31800)</f>
        <v>31800</v>
      </c>
      <c r="M537" s="169"/>
      <c r="N537" s="169">
        <f ca="1">IFERROR(__xludf.DUMMYFUNCTION("IMPORTRANGE(""https://docs.google.com/spreadsheets/d/1XL5vhW3sbDhbH9Cz0tuDiY8C3ctxq1tqvaCgkFb8cCA/edit?usp=sharing"",""กาฬสินธุ์!M432"")"),24034)</f>
        <v>24034</v>
      </c>
      <c r="O537" s="169">
        <f t="shared" ca="1" si="118"/>
        <v>75.578616352201252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IFERROR(__xludf.DUMMYFUNCTION("IMPORTRANGE(""https://docs.google.com/spreadsheets/d/1XL5vhW3sbDhbH9Cz0tuDiY8C3ctxq1tqvaCgkFb8cCA/edit?usp=sharing"",""กาฬสินธุ์!M433"")"),14920)</f>
        <v>14920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IFERROR(__xludf.DUMMYFUNCTION("IMPORTRANGE(""https://docs.google.com/spreadsheets/d/1XL5vhW3sbDhbH9Cz0tuDiY8C3ctxq1tqvaCgkFb8cCA/edit?usp=sharing"",""กาฬสินธุ์!M434"")"),0)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IFERROR(__xludf.DUMMYFUNCTION("IMPORTRANGE(""https://docs.google.com/spreadsheets/d/1XL5vhW3sbDhbH9Cz0tuDiY8C3ctxq1tqvaCgkFb8cCA/edit?usp=sharing"",""กาฬสินธุ์!M435"")"),0)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IFERROR(__xludf.DUMMYFUNCTION("IMPORTRANGE(""https://docs.google.com/spreadsheets/d/1XL5vhW3sbDhbH9Cz0tuDiY8C3ctxq1tqvaCgkFb8cCA/edit?usp=sharing"",""กาฬสินธุ์!M436"")"),9114)</f>
        <v>9114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IFERROR(__xludf.DUMMYFUNCTION("IMPORTRANGE(""https://docs.google.com/spreadsheets/d/1XL5vhW3sbDhbH9Cz0tuDiY8C3ctxq1tqvaCgkFb8cCA/edit?usp=sharing"",""กาฬสินธุ์!J438"")"),0)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IFERROR(__xludf.DUMMYFUNCTION("IMPORTRANGE(""https://docs.google.com/spreadsheets/d/1XL5vhW3sbDhbH9Cz0tuDiY8C3ctxq1tqvaCgkFb8cCA/edit?usp=sharing"",""กาฬสินธุ์!J439"")"),1)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IFERROR(__xludf.DUMMYFUNCTION("IMPORTRANGE(""https://docs.google.com/spreadsheets/d/1XL5vhW3sbDhbH9Cz0tuDiY8C3ctxq1tqvaCgkFb8cCA/edit?usp=sharing"",""กาฬสินธุ์!J440"")"),1)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IFERROR(__xludf.DUMMYFUNCTION("IMPORTRANGE(""https://docs.google.com/spreadsheets/d/1XL5vhW3sbDhbH9Cz0tuDiY8C3ctxq1tqvaCgkFb8cCA/edit?usp=sharing"",""กาฬสินธุ์!J441"")"),1)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IFERROR(__xludf.DUMMYFUNCTION("IMPORTRANGE(""https://docs.google.com/spreadsheets/d/1XL5vhW3sbDhbH9Cz0tuDiY8C3ctxq1tqvaCgkFb8cCA/edit?usp=sharing"",""กาฬสินธุ์!I442"")"),19)</f>
        <v>19</v>
      </c>
      <c r="J547" s="189">
        <f ca="1">IFERROR(__xludf.DUMMYFUNCTION("IMPORTRANGE(""https://docs.google.com/spreadsheets/d/1XL5vhW3sbDhbH9Cz0tuDiY8C3ctxq1tqvaCgkFb8cCA/edit?usp=sharing"",""กาฬสินธุ์!J442"")"),19)</f>
        <v>19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IFERROR(__xludf.DUMMYFUNCTION("IMPORTRANGE(""https://docs.google.com/spreadsheets/d/1XL5vhW3sbDhbH9Cz0tuDiY8C3ctxq1tqvaCgkFb8cCA/edit?usp=sharing"",""กาฬสินธุ์!J166"")"),0)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IFERROR(__xludf.DUMMYFUNCTION("IMPORTRANGE(""https://docs.google.com/spreadsheets/d/1XL5vhW3sbDhbH9Cz0tuDiY8C3ctxq1tqvaCgkFb8cCA/edit?usp=sharing"",""กาฬสินธุ์!J444"")"),0)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IFERROR(__xludf.DUMMYFUNCTION("IMPORTRANGE(""https://docs.google.com/spreadsheets/d/1XL5vhW3sbDhbH9Cz0tuDiY8C3ctxq1tqvaCgkFb8cCA/edit?usp=sharing"",""กาฬสินธุ์!J445"")"),0)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IFERROR(__xludf.DUMMYFUNCTION("IMPORTRANGE(""https://docs.google.com/spreadsheets/d/1XL5vhW3sbDhbH9Cz0tuDiY8C3ctxq1tqvaCgkFb8cCA/edit?usp=sharing"",""กาฬสินธุ์!I446"")"),0)</f>
        <v>0</v>
      </c>
      <c r="J551" s="410">
        <f ca="1">IFERROR(__xludf.DUMMYFUNCTION("IMPORTRANGE(""https://docs.google.com/spreadsheets/d/1XL5vhW3sbDhbH9Cz0tuDiY8C3ctxq1tqvaCgkFb8cCA/edit?usp=sharing"",""กาฬสินธุ์!J446"")"),0)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IFERROR(__xludf.DUMMYFUNCTION("IMPORTRANGE(""https://docs.google.com/spreadsheets/d/1XL5vhW3sbDhbH9Cz0tuDiY8C3ctxq1tqvaCgkFb8cCA/edit?usp=sharing"",""กาฬสินธุ์!L446"")"),0)</f>
        <v>0</v>
      </c>
      <c r="M551" s="412"/>
      <c r="N551" s="412">
        <f ca="1">IFERROR(__xludf.DUMMYFUNCTION("IMPORTRANGE(""https://docs.google.com/spreadsheets/d/1XL5vhW3sbDhbH9Cz0tuDiY8C3ctxq1tqvaCgkFb8cCA/edit?usp=sharing"",""กาฬสินธุ์!M446"")"),0)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IFERROR(__xludf.DUMMYFUNCTION("IMPORTRANGE(""https://docs.google.com/spreadsheets/d/1XL5vhW3sbDhbH9Cz0tuDiY8C3ctxq1tqvaCgkFb8cCA/edit?usp=sharing"",""กาฬสินธุ์!L447"")"),0)</f>
        <v>0</v>
      </c>
      <c r="M552" s="164"/>
      <c r="N552" s="169">
        <f ca="1">IFERROR(__xludf.DUMMYFUNCTION("IMPORTRANGE(""https://docs.google.com/spreadsheets/d/1XL5vhW3sbDhbH9Cz0tuDiY8C3ctxq1tqvaCgkFb8cCA/edit?usp=sharing"",""กาฬสินธุ์!M447"")"),0)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IFERROR(__xludf.DUMMYFUNCTION("IMPORTRANGE(""https://docs.google.com/spreadsheets/d/1XL5vhW3sbDhbH9Cz0tuDiY8C3ctxq1tqvaCgkFb8cCA/edit?usp=sharing"",""กาฬสินธุ์!L448"")"),0)</f>
        <v>0</v>
      </c>
      <c r="M553" s="165"/>
      <c r="N553" s="169">
        <f ca="1">IFERROR(__xludf.DUMMYFUNCTION("IMPORTRANGE(""https://docs.google.com/spreadsheets/d/1XL5vhW3sbDhbH9Cz0tuDiY8C3ctxq1tqvaCgkFb8cCA/edit?usp=sharing"",""กาฬสินธุ์!M448"")"),0)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IFERROR(__xludf.DUMMYFUNCTION("IMPORTRANGE(""https://docs.google.com/spreadsheets/d/1XL5vhW3sbDhbH9Cz0tuDiY8C3ctxq1tqvaCgkFb8cCA/edit?usp=sharing"",""กาฬสินธุ์!L449"")"),0)</f>
        <v>0</v>
      </c>
      <c r="M554" s="169"/>
      <c r="N554" s="169">
        <f ca="1">IFERROR(__xludf.DUMMYFUNCTION("IMPORTRANGE(""https://docs.google.com/spreadsheets/d/1XL5vhW3sbDhbH9Cz0tuDiY8C3ctxq1tqvaCgkFb8cCA/edit?usp=sharing"",""กาฬสินธุ์!M449"")"),0)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IFERROR(__xludf.DUMMYFUNCTION("IMPORTRANGE(""https://docs.google.com/spreadsheets/d/1XL5vhW3sbDhbH9Cz0tuDiY8C3ctxq1tqvaCgkFb8cCA/edit?usp=sharing"",""กาฬสินธุ์!L450"")"),0)</f>
        <v>0</v>
      </c>
      <c r="M555" s="169"/>
      <c r="N555" s="169">
        <f ca="1">IFERROR(__xludf.DUMMYFUNCTION("IMPORTRANGE(""https://docs.google.com/spreadsheets/d/1XL5vhW3sbDhbH9Cz0tuDiY8C3ctxq1tqvaCgkFb8cCA/edit?usp=sharing"",""กาฬสินธุ์!M450"")"),0)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IFERROR(__xludf.DUMMYFUNCTION("IMPORTRANGE(""https://docs.google.com/spreadsheets/d/1XL5vhW3sbDhbH9Cz0tuDiY8C3ctxq1tqvaCgkFb8cCA/edit?usp=sharing"",""กาฬสินธุ์!M451"")"),0)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IFERROR(__xludf.DUMMYFUNCTION("IMPORTRANGE(""https://docs.google.com/spreadsheets/d/1XL5vhW3sbDhbH9Cz0tuDiY8C3ctxq1tqvaCgkFb8cCA/edit?usp=sharing"",""กาฬสินธุ์!M452"")"),0)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IFERROR(__xludf.DUMMYFUNCTION("IMPORTRANGE(""https://docs.google.com/spreadsheets/d/1XL5vhW3sbDhbH9Cz0tuDiY8C3ctxq1tqvaCgkFb8cCA/edit?usp=sharing"",""กาฬสินธุ์!M453"")"),0)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IFERROR(__xludf.DUMMYFUNCTION("IMPORTRANGE(""https://docs.google.com/spreadsheets/d/1XL5vhW3sbDhbH9Cz0tuDiY8C3ctxq1tqvaCgkFb8cCA/edit?usp=sharing"",""กาฬสินธุ์!M454"")"),0)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IFERROR(__xludf.DUMMYFUNCTION("IMPORTRANGE(""https://docs.google.com/spreadsheets/d/1XL5vhW3sbDhbH9Cz0tuDiY8C3ctxq1tqvaCgkFb8cCA/edit?usp=sharing"",""กาฬสินธุ์!I455"")"),0)</f>
        <v>0</v>
      </c>
      <c r="J560" s="162">
        <f ca="1">IFERROR(__xludf.DUMMYFUNCTION("IMPORTRANGE(""https://docs.google.com/spreadsheets/d/1XL5vhW3sbDhbH9Cz0tuDiY8C3ctxq1tqvaCgkFb8cCA/edit?usp=sharing"",""กาฬสินธุ์!J455"")"),0)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IFERROR(__xludf.DUMMYFUNCTION("IMPORTRANGE(""https://docs.google.com/spreadsheets/d/1XL5vhW3sbDhbH9Cz0tuDiY8C3ctxq1tqvaCgkFb8cCA/edit?usp=sharing"",""กาฬสินธุ์!I456"")"),0)</f>
        <v>0</v>
      </c>
      <c r="J561" s="204">
        <f ca="1">IFERROR(__xludf.DUMMYFUNCTION("IMPORTRANGE(""https://docs.google.com/spreadsheets/d/1XL5vhW3sbDhbH9Cz0tuDiY8C3ctxq1tqvaCgkFb8cCA/edit?usp=sharing"",""กาฬสินธุ์!J456"")"),0)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IFERROR(__xludf.DUMMYFUNCTION("IMPORTRANGE(""https://docs.google.com/spreadsheets/d/1XL5vhW3sbDhbH9Cz0tuDiY8C3ctxq1tqvaCgkFb8cCA/edit?usp=sharing"",""กาฬสินธุ์!I459"")"),2300)</f>
        <v>2300</v>
      </c>
      <c r="J564" s="371">
        <f ca="1">IFERROR(__xludf.DUMMYFUNCTION("IMPORTRANGE(""https://docs.google.com/spreadsheets/d/1XL5vhW3sbDhbH9Cz0tuDiY8C3ctxq1tqvaCgkFb8cCA/edit?usp=sharing"",""กาฬสินธุ์!J459"")"),1313)</f>
        <v>1313</v>
      </c>
      <c r="K564" s="372">
        <f ca="1">IF(I564&gt;0,J564*100/I564,0)</f>
        <v>57.086956521739133</v>
      </c>
      <c r="L564" s="373">
        <f ca="1">IFERROR(__xludf.DUMMYFUNCTION("IMPORTRANGE(""https://docs.google.com/spreadsheets/d/1XL5vhW3sbDhbH9Cz0tuDiY8C3ctxq1tqvaCgkFb8cCA/edit?usp=sharing"",""กาฬสินธุ์!L459"")"),143040)</f>
        <v>143040</v>
      </c>
      <c r="M564" s="373"/>
      <c r="N564" s="373">
        <f ca="1">IFERROR(__xludf.DUMMYFUNCTION("IMPORTRANGE(""https://docs.google.com/spreadsheets/d/1XL5vhW3sbDhbH9Cz0tuDiY8C3ctxq1tqvaCgkFb8cCA/edit?usp=sharing"",""กาฬสินธุ์!M459"")"),80436)</f>
        <v>80436</v>
      </c>
      <c r="O564" s="373">
        <f t="shared" ref="O564:O568" ca="1" si="122">+IF(L564&gt;0,N564*100/L564,0)</f>
        <v>56.233221476510067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IFERROR(__xludf.DUMMYFUNCTION("IMPORTRANGE(""https://docs.google.com/spreadsheets/d/1XL5vhW3sbDhbH9Cz0tuDiY8C3ctxq1tqvaCgkFb8cCA/edit?usp=sharing"",""กาฬสินธุ์!L460"")"),0)</f>
        <v>0</v>
      </c>
      <c r="M565" s="164"/>
      <c r="N565" s="169">
        <f ca="1">IFERROR(__xludf.DUMMYFUNCTION("IMPORTRANGE(""https://docs.google.com/spreadsheets/d/1XL5vhW3sbDhbH9Cz0tuDiY8C3ctxq1tqvaCgkFb8cCA/edit?usp=sharing"",""กาฬสินธุ์!M460"")"),0)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IFERROR(__xludf.DUMMYFUNCTION("IMPORTRANGE(""https://docs.google.com/spreadsheets/d/1XL5vhW3sbDhbH9Cz0tuDiY8C3ctxq1tqvaCgkFb8cCA/edit?usp=sharing"",""กาฬสินธุ์!L461"")"),143040)</f>
        <v>143040</v>
      </c>
      <c r="M566" s="165"/>
      <c r="N566" s="169">
        <f ca="1">IFERROR(__xludf.DUMMYFUNCTION("IMPORTRANGE(""https://docs.google.com/spreadsheets/d/1XL5vhW3sbDhbH9Cz0tuDiY8C3ctxq1tqvaCgkFb8cCA/edit?usp=sharing"",""กาฬสินธุ์!M461"")"),80436)</f>
        <v>80436</v>
      </c>
      <c r="O566" s="169">
        <f t="shared" ca="1" si="122"/>
        <v>56.233221476510067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IFERROR(__xludf.DUMMYFUNCTION("IMPORTRANGE(""https://docs.google.com/spreadsheets/d/1XL5vhW3sbDhbH9Cz0tuDiY8C3ctxq1tqvaCgkFb8cCA/edit?usp=sharing"",""กาฬสินธุ์!L462"")"),0)</f>
        <v>0</v>
      </c>
      <c r="M567" s="169"/>
      <c r="N567" s="169">
        <f ca="1">IFERROR(__xludf.DUMMYFUNCTION("IMPORTRANGE(""https://docs.google.com/spreadsheets/d/1XL5vhW3sbDhbH9Cz0tuDiY8C3ctxq1tqvaCgkFb8cCA/edit?usp=sharing"",""กาฬสินธุ์!M462"")"),0)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IFERROR(__xludf.DUMMYFUNCTION("IMPORTRANGE(""https://docs.google.com/spreadsheets/d/1XL5vhW3sbDhbH9Cz0tuDiY8C3ctxq1tqvaCgkFb8cCA/edit?usp=sharing"",""กาฬสินธุ์!L463"")"),143040)</f>
        <v>143040</v>
      </c>
      <c r="M568" s="169"/>
      <c r="N568" s="169">
        <f ca="1">IFERROR(__xludf.DUMMYFUNCTION("IMPORTRANGE(""https://docs.google.com/spreadsheets/d/1XL5vhW3sbDhbH9Cz0tuDiY8C3ctxq1tqvaCgkFb8cCA/edit?usp=sharing"",""กาฬสินธุ์!M463"")"),80436)</f>
        <v>80436</v>
      </c>
      <c r="O568" s="169">
        <f t="shared" ca="1" si="122"/>
        <v>56.233221476510067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IFERROR(__xludf.DUMMYFUNCTION("IMPORTRANGE(""https://docs.google.com/spreadsheets/d/1XL5vhW3sbDhbH9Cz0tuDiY8C3ctxq1tqvaCgkFb8cCA/edit?usp=sharing"",""กาฬสินธุ์!M464"")"),0)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IFERROR(__xludf.DUMMYFUNCTION("IMPORTRANGE(""https://docs.google.com/spreadsheets/d/1XL5vhW3sbDhbH9Cz0tuDiY8C3ctxq1tqvaCgkFb8cCA/edit?usp=sharing"",""กาฬสินธุ์!M465"")"),0)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IFERROR(__xludf.DUMMYFUNCTION("IMPORTRANGE(""https://docs.google.com/spreadsheets/d/1XL5vhW3sbDhbH9Cz0tuDiY8C3ctxq1tqvaCgkFb8cCA/edit?usp=sharing"",""กาฬสินธุ์!M466"")"),50386)</f>
        <v>50386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IFERROR(__xludf.DUMMYFUNCTION("IMPORTRANGE(""https://docs.google.com/spreadsheets/d/1XL5vhW3sbDhbH9Cz0tuDiY8C3ctxq1tqvaCgkFb8cCA/edit?usp=sharing"",""กาฬสินธุ์!M467"")"),30050)</f>
        <v>30050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IFERROR(__xludf.DUMMYFUNCTION("IMPORTRANGE(""https://docs.google.com/spreadsheets/d/1XL5vhW3sbDhbH9Cz0tuDiY8C3ctxq1tqvaCgkFb8cCA/edit?usp=sharing"",""กาฬสินธุ์!I468"")"),2300)</f>
        <v>2300</v>
      </c>
      <c r="J573" s="420">
        <f ca="1">IFERROR(__xludf.DUMMYFUNCTION("IMPORTRANGE(""https://docs.google.com/spreadsheets/d/1XL5vhW3sbDhbH9Cz0tuDiY8C3ctxq1tqvaCgkFb8cCA/edit?usp=sharing"",""กาฬสินธุ์!J468"")"),1313)</f>
        <v>1313</v>
      </c>
      <c r="K573" s="202">
        <f ca="1">IF(I573&gt;0,J573*100/I573,0)</f>
        <v>57.086956521739133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IFERROR(__xludf.DUMMYFUNCTION("IMPORTRANGE(""https://docs.google.com/spreadsheets/d/1XL5vhW3sbDhbH9Cz0tuDiY8C3ctxq1tqvaCgkFb8cCA/edit?usp=sharing"",""กาฬสินธุ์!I470"")"),0)</f>
        <v>0</v>
      </c>
      <c r="J575" s="198">
        <f ca="1">IFERROR(__xludf.DUMMYFUNCTION("IMPORTRANGE(""https://docs.google.com/spreadsheets/d/1XL5vhW3sbDhbH9Cz0tuDiY8C3ctxq1tqvaCgkFb8cCA/edit?usp=sharing"",""กาฬสินธุ์!J470"")"),2)</f>
        <v>2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IFERROR(__xludf.DUMMYFUNCTION("IMPORTRANGE(""https://docs.google.com/spreadsheets/d/1XL5vhW3sbDhbH9Cz0tuDiY8C3ctxq1tqvaCgkFb8cCA/edit?usp=sharing"",""กาฬสินธุ์!I471"")"),0)</f>
        <v>0</v>
      </c>
      <c r="J576" s="198">
        <f ca="1">IFERROR(__xludf.DUMMYFUNCTION("IMPORTRANGE(""https://docs.google.com/spreadsheets/d/1XL5vhW3sbDhbH9Cz0tuDiY8C3ctxq1tqvaCgkFb8cCA/edit?usp=sharing"",""กาฬสินธุ์!J471"")"),31)</f>
        <v>31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IFERROR(__xludf.DUMMYFUNCTION("IMPORTRANGE(""https://docs.google.com/spreadsheets/d/1XL5vhW3sbDhbH9Cz0tuDiY8C3ctxq1tqvaCgkFb8cCA/edit?usp=sharing"",""กาฬสินธุ์!I472"")"),0)</f>
        <v>0</v>
      </c>
      <c r="J577" s="189">
        <f ca="1">IFERROR(__xludf.DUMMYFUNCTION("IMPORTRANGE(""https://docs.google.com/spreadsheets/d/1XL5vhW3sbDhbH9Cz0tuDiY8C3ctxq1tqvaCgkFb8cCA/edit?usp=sharing"",""กาฬสินธุ์!J472"")"),1282)</f>
        <v>1282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IFERROR(__xludf.DUMMYFUNCTION("IMPORTRANGE(""https://docs.google.com/spreadsheets/d/1XL5vhW3sbDhbH9Cz0tuDiY8C3ctxq1tqvaCgkFb8cCA/edit?usp=sharing"",""กาฬสินธุ์!I473"")"),0)</f>
        <v>0</v>
      </c>
      <c r="J578" s="198">
        <f ca="1">IFERROR(__xludf.DUMMYFUNCTION("IMPORTRANGE(""https://docs.google.com/spreadsheets/d/1XL5vhW3sbDhbH9Cz0tuDiY8C3ctxq1tqvaCgkFb8cCA/edit?usp=sharing"",""กาฬสินธุ์!J473"")"),0)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IFERROR(__xludf.DUMMYFUNCTION("IMPORTRANGE(""https://docs.google.com/spreadsheets/d/1XL5vhW3sbDhbH9Cz0tuDiY8C3ctxq1tqvaCgkFb8cCA/edit?usp=sharing"",""กาฬสินธุ์!I474"")"),0)</f>
        <v>0</v>
      </c>
      <c r="J579" s="198">
        <f ca="1">IFERROR(__xludf.DUMMYFUNCTION("IMPORTRANGE(""https://docs.google.com/spreadsheets/d/1XL5vhW3sbDhbH9Cz0tuDiY8C3ctxq1tqvaCgkFb8cCA/edit?usp=sharing"",""กาฬสินธุ์!J474"")"),0)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IFERROR(__xludf.DUMMYFUNCTION("IMPORTRANGE(""https://docs.google.com/spreadsheets/d/1XL5vhW3sbDhbH9Cz0tuDiY8C3ctxq1tqvaCgkFb8cCA/edit?usp=sharing"",""กาฬสินธุ์!I475"")"),30)</f>
        <v>30</v>
      </c>
      <c r="J580" s="371">
        <f ca="1">IFERROR(__xludf.DUMMYFUNCTION("IMPORTRANGE(""https://docs.google.com/spreadsheets/d/1XL5vhW3sbDhbH9Cz0tuDiY8C3ctxq1tqvaCgkFb8cCA/edit?usp=sharing"",""กาฬสินธุ์!J475"")"),0)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IFERROR(__xludf.DUMMYFUNCTION("IMPORTRANGE(""https://docs.google.com/spreadsheets/d/1XL5vhW3sbDhbH9Cz0tuDiY8C3ctxq1tqvaCgkFb8cCA/edit?usp=sharing"",""กาฬสินธุ์!L475"")"),148830)</f>
        <v>148830</v>
      </c>
      <c r="M580" s="373"/>
      <c r="N580" s="373">
        <f ca="1">IFERROR(__xludf.DUMMYFUNCTION("IMPORTRANGE(""https://docs.google.com/spreadsheets/d/1XL5vhW3sbDhbH9Cz0tuDiY8C3ctxq1tqvaCgkFb8cCA/edit?usp=sharing"",""กาฬสินธุ์!M475"")"),0)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IFERROR(__xludf.DUMMYFUNCTION("IMPORTRANGE(""https://docs.google.com/spreadsheets/d/1XL5vhW3sbDhbH9Cz0tuDiY8C3ctxq1tqvaCgkFb8cCA/edit?usp=sharing"",""กาฬสินธุ์!L476"")"),0)</f>
        <v>0</v>
      </c>
      <c r="M581" s="164"/>
      <c r="N581" s="169">
        <f ca="1">IFERROR(__xludf.DUMMYFUNCTION("IMPORTRANGE(""https://docs.google.com/spreadsheets/d/1XL5vhW3sbDhbH9Cz0tuDiY8C3ctxq1tqvaCgkFb8cCA/edit?usp=sharing"",""กาฬสินธุ์!M476"")"),0)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IFERROR(__xludf.DUMMYFUNCTION("IMPORTRANGE(""https://docs.google.com/spreadsheets/d/1XL5vhW3sbDhbH9Cz0tuDiY8C3ctxq1tqvaCgkFb8cCA/edit?usp=sharing"",""กาฬสินธุ์!L477"")"),148830)</f>
        <v>148830</v>
      </c>
      <c r="M582" s="165"/>
      <c r="N582" s="169">
        <f ca="1">IFERROR(__xludf.DUMMYFUNCTION("IMPORTRANGE(""https://docs.google.com/spreadsheets/d/1XL5vhW3sbDhbH9Cz0tuDiY8C3ctxq1tqvaCgkFb8cCA/edit?usp=sharing"",""กาฬสินธุ์!M477"")"),0)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IFERROR(__xludf.DUMMYFUNCTION("IMPORTRANGE(""https://docs.google.com/spreadsheets/d/1XL5vhW3sbDhbH9Cz0tuDiY8C3ctxq1tqvaCgkFb8cCA/edit?usp=sharing"",""กาฬสินธุ์!L478"")"),0)</f>
        <v>0</v>
      </c>
      <c r="M583" s="169"/>
      <c r="N583" s="169">
        <f ca="1">IFERROR(__xludf.DUMMYFUNCTION("IMPORTRANGE(""https://docs.google.com/spreadsheets/d/1XL5vhW3sbDhbH9Cz0tuDiY8C3ctxq1tqvaCgkFb8cCA/edit?usp=sharing"",""กาฬสินธุ์!M478"")"),0)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IFERROR(__xludf.DUMMYFUNCTION("IMPORTRANGE(""https://docs.google.com/spreadsheets/d/1XL5vhW3sbDhbH9Cz0tuDiY8C3ctxq1tqvaCgkFb8cCA/edit?usp=sharing"",""กาฬสินธุ์!L479"")"),148830)</f>
        <v>148830</v>
      </c>
      <c r="M584" s="169"/>
      <c r="N584" s="169">
        <f ca="1">IFERROR(__xludf.DUMMYFUNCTION("IMPORTRANGE(""https://docs.google.com/spreadsheets/d/1XL5vhW3sbDhbH9Cz0tuDiY8C3ctxq1tqvaCgkFb8cCA/edit?usp=sharing"",""กาฬสินธุ์!M479"")"),0)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IFERROR(__xludf.DUMMYFUNCTION("IMPORTRANGE(""https://docs.google.com/spreadsheets/d/1XL5vhW3sbDhbH9Cz0tuDiY8C3ctxq1tqvaCgkFb8cCA/edit?usp=sharing"",""กาฬสินธุ์!M480"")"),0)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IFERROR(__xludf.DUMMYFUNCTION("IMPORTRANGE(""https://docs.google.com/spreadsheets/d/1XL5vhW3sbDhbH9Cz0tuDiY8C3ctxq1tqvaCgkFb8cCA/edit?usp=sharing"",""กาฬสินธุ์!M481"")"),0)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IFERROR(__xludf.DUMMYFUNCTION("IMPORTRANGE(""https://docs.google.com/spreadsheets/d/1XL5vhW3sbDhbH9Cz0tuDiY8C3ctxq1tqvaCgkFb8cCA/edit?usp=sharing"",""กาฬสินธุ์!M482"")"),0)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IFERROR(__xludf.DUMMYFUNCTION("IMPORTRANGE(""https://docs.google.com/spreadsheets/d/1XL5vhW3sbDhbH9Cz0tuDiY8C3ctxq1tqvaCgkFb8cCA/edit?usp=sharing"",""กาฬสินธุ์!M483"")"),0)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IFERROR(__xludf.DUMMYFUNCTION("IMPORTRANGE(""https://docs.google.com/spreadsheets/d/1XL5vhW3sbDhbH9Cz0tuDiY8C3ctxq1tqvaCgkFb8cCA/edit?usp=sharing"",""กาฬสินธุ์!I484"")"),30)</f>
        <v>30</v>
      </c>
      <c r="J589" s="188">
        <f ca="1">IFERROR(__xludf.DUMMYFUNCTION("IMPORTRANGE(""https://docs.google.com/spreadsheets/d/1XL5vhW3sbDhbH9Cz0tuDiY8C3ctxq1tqvaCgkFb8cCA/edit?usp=sharing"",""กาฬสินธุ์!J484"")"),0)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IFERROR(__xludf.DUMMYFUNCTION("IMPORTRANGE(""https://docs.google.com/spreadsheets/d/1XL5vhW3sbDhbH9Cz0tuDiY8C3ctxq1tqvaCgkFb8cCA/edit?usp=sharing"",""กาฬสินธุ์!I485"")"),0)</f>
        <v>0</v>
      </c>
      <c r="J590" s="188">
        <f ca="1">IFERROR(__xludf.DUMMYFUNCTION("IMPORTRANGE(""https://docs.google.com/spreadsheets/d/1XL5vhW3sbDhbH9Cz0tuDiY8C3ctxq1tqvaCgkFb8cCA/edit?usp=sharing"",""กาฬสินธุ์!J485"")"),0)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IFERROR(__xludf.DUMMYFUNCTION("IMPORTRANGE(""https://docs.google.com/spreadsheets/d/1XL5vhW3sbDhbH9Cz0tuDiY8C3ctxq1tqvaCgkFb8cCA/edit?usp=sharing"",""กาฬสินธุ์!I486"")"),30)</f>
        <v>30</v>
      </c>
      <c r="J591" s="188">
        <f ca="1">IFERROR(__xludf.DUMMYFUNCTION("IMPORTRANGE(""https://docs.google.com/spreadsheets/d/1XL5vhW3sbDhbH9Cz0tuDiY8C3ctxq1tqvaCgkFb8cCA/edit?usp=sharing"",""กาฬสินธุ์!J486"")"),4)</f>
        <v>4</v>
      </c>
      <c r="K591" s="163">
        <f t="shared" ca="1" si="125"/>
        <v>13.333333333333334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IFERROR(__xludf.DUMMYFUNCTION("IMPORTRANGE(""https://docs.google.com/spreadsheets/d/1XL5vhW3sbDhbH9Cz0tuDiY8C3ctxq1tqvaCgkFb8cCA/edit?usp=sharing"",""กาฬสินธุ์!I487"")"),0)</f>
        <v>0</v>
      </c>
      <c r="J592" s="188">
        <f ca="1">IFERROR(__xludf.DUMMYFUNCTION("IMPORTRANGE(""https://docs.google.com/spreadsheets/d/1XL5vhW3sbDhbH9Cz0tuDiY8C3ctxq1tqvaCgkFb8cCA/edit?usp=sharing"",""กาฬสินธุ์!J487"")"),2.05)</f>
        <v>2.0499999999999998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IFERROR(__xludf.DUMMYFUNCTION("IMPORTRANGE(""https://docs.google.com/spreadsheets/d/1XL5vhW3sbDhbH9Cz0tuDiY8C3ctxq1tqvaCgkFb8cCA/edit?usp=sharing"",""กาฬสินธุ์!I488"")"),30)</f>
        <v>30</v>
      </c>
      <c r="J593" s="188">
        <f ca="1">IFERROR(__xludf.DUMMYFUNCTION("IMPORTRANGE(""https://docs.google.com/spreadsheets/d/1XL5vhW3sbDhbH9Cz0tuDiY8C3ctxq1tqvaCgkFb8cCA/edit?usp=sharing"",""กาฬสินธุ์!J488"")"),0)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IFERROR(__xludf.DUMMYFUNCTION("IMPORTRANGE(""https://docs.google.com/spreadsheets/d/1XL5vhW3sbDhbH9Cz0tuDiY8C3ctxq1tqvaCgkFb8cCA/edit?usp=sharing"",""กาฬสินธุ์!I489"")"),0)</f>
        <v>0</v>
      </c>
      <c r="J594" s="188">
        <f ca="1">IFERROR(__xludf.DUMMYFUNCTION("IMPORTRANGE(""https://docs.google.com/spreadsheets/d/1XL5vhW3sbDhbH9Cz0tuDiY8C3ctxq1tqvaCgkFb8cCA/edit?usp=sharing"",""กาฬสินธุ์!J489"")"),0)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IFERROR(__xludf.DUMMYFUNCTION("IMPORTRANGE(""https://docs.google.com/spreadsheets/d/1XL5vhW3sbDhbH9Cz0tuDiY8C3ctxq1tqvaCgkFb8cCA/edit?usp=sharing"",""กาฬสินธุ์!I490"")"),30)</f>
        <v>30</v>
      </c>
      <c r="J595" s="188">
        <f ca="1">IFERROR(__xludf.DUMMYFUNCTION("IMPORTRANGE(""https://docs.google.com/spreadsheets/d/1XL5vhW3sbDhbH9Cz0tuDiY8C3ctxq1tqvaCgkFb8cCA/edit?usp=sharing"",""กาฬสินธุ์!J490"")"),0)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IFERROR(__xludf.DUMMYFUNCTION("IMPORTRANGE(""https://docs.google.com/spreadsheets/d/1XL5vhW3sbDhbH9Cz0tuDiY8C3ctxq1tqvaCgkFb8cCA/edit?usp=sharing"",""กาฬสินธุ์!I491"")"),0)</f>
        <v>0</v>
      </c>
      <c r="J596" s="241">
        <f ca="1">IFERROR(__xludf.DUMMYFUNCTION("IMPORTRANGE(""https://docs.google.com/spreadsheets/d/1XL5vhW3sbDhbH9Cz0tuDiY8C3ctxq1tqvaCgkFb8cCA/edit?usp=sharing"",""กาฬสินธุ์!J491"")"),0)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IFERROR(__xludf.DUMMYFUNCTION("IMPORTRANGE(""https://docs.google.com/spreadsheets/d/1XL5vhW3sbDhbH9Cz0tuDiY8C3ctxq1tqvaCgkFb8cCA/edit?usp=sharing"",""กาฬสินธุ์!I492"")"),50)</f>
        <v>50</v>
      </c>
      <c r="J597" s="487">
        <f ca="1">IFERROR(__xludf.DUMMYFUNCTION("IMPORTRANGE(""https://docs.google.com/spreadsheets/d/1XL5vhW3sbDhbH9Cz0tuDiY8C3ctxq1tqvaCgkFb8cCA/edit?usp=sharing"",""กาฬสินธุ์!J492"")"),0)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IFERROR(__xludf.DUMMYFUNCTION("IMPORTRANGE(""https://docs.google.com/spreadsheets/d/1XL5vhW3sbDhbH9Cz0tuDiY8C3ctxq1tqvaCgkFb8cCA/edit?usp=sharing"",""กาฬสินธุ์!L492"")"),4550)</f>
        <v>4550</v>
      </c>
      <c r="M597" s="412"/>
      <c r="N597" s="412">
        <f ca="1">IFERROR(__xludf.DUMMYFUNCTION("IMPORTRANGE(""https://docs.google.com/spreadsheets/d/1XL5vhW3sbDhbH9Cz0tuDiY8C3ctxq1tqvaCgkFb8cCA/edit?usp=sharing"",""กาฬสินธุ์!M492"")"),1400)</f>
        <v>1400</v>
      </c>
      <c r="O597" s="412">
        <f t="shared" ref="O597:O601" ca="1" si="126">+IF(L597&gt;0,N597*100/L597,0)</f>
        <v>30.76923076923077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IFERROR(__xludf.DUMMYFUNCTION("IMPORTRANGE(""https://docs.google.com/spreadsheets/d/1XL5vhW3sbDhbH9Cz0tuDiY8C3ctxq1tqvaCgkFb8cCA/edit?usp=sharing"",""กาฬสินธุ์!L493"")"),0)</f>
        <v>0</v>
      </c>
      <c r="M598" s="164"/>
      <c r="N598" s="169">
        <f ca="1">IFERROR(__xludf.DUMMYFUNCTION("IMPORTRANGE(""https://docs.google.com/spreadsheets/d/1XL5vhW3sbDhbH9Cz0tuDiY8C3ctxq1tqvaCgkFb8cCA/edit?usp=sharing"",""กาฬสินธุ์!M493"")"),0)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IFERROR(__xludf.DUMMYFUNCTION("IMPORTRANGE(""https://docs.google.com/spreadsheets/d/1XL5vhW3sbDhbH9Cz0tuDiY8C3ctxq1tqvaCgkFb8cCA/edit?usp=sharing"",""กาฬสินธุ์!L494"")"),4550)</f>
        <v>4550</v>
      </c>
      <c r="M599" s="165"/>
      <c r="N599" s="169">
        <f ca="1">IFERROR(__xludf.DUMMYFUNCTION("IMPORTRANGE(""https://docs.google.com/spreadsheets/d/1XL5vhW3sbDhbH9Cz0tuDiY8C3ctxq1tqvaCgkFb8cCA/edit?usp=sharing"",""กาฬสินธุ์!M494"")"),1400)</f>
        <v>1400</v>
      </c>
      <c r="O599" s="169">
        <f t="shared" ca="1" si="126"/>
        <v>30.76923076923077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IFERROR(__xludf.DUMMYFUNCTION("IMPORTRANGE(""https://docs.google.com/spreadsheets/d/1XL5vhW3sbDhbH9Cz0tuDiY8C3ctxq1tqvaCgkFb8cCA/edit?usp=sharing"",""กาฬสินธุ์!L495"")"),0)</f>
        <v>0</v>
      </c>
      <c r="M600" s="169"/>
      <c r="N600" s="169">
        <f ca="1">IFERROR(__xludf.DUMMYFUNCTION("IMPORTRANGE(""https://docs.google.com/spreadsheets/d/1XL5vhW3sbDhbH9Cz0tuDiY8C3ctxq1tqvaCgkFb8cCA/edit?usp=sharing"",""กาฬสินธุ์!M495"")"),0)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IFERROR(__xludf.DUMMYFUNCTION("IMPORTRANGE(""https://docs.google.com/spreadsheets/d/1XL5vhW3sbDhbH9Cz0tuDiY8C3ctxq1tqvaCgkFb8cCA/edit?usp=sharing"",""กาฬสินธุ์!L496"")"),4550)</f>
        <v>4550</v>
      </c>
      <c r="M601" s="169"/>
      <c r="N601" s="169">
        <f ca="1">IFERROR(__xludf.DUMMYFUNCTION("IMPORTRANGE(""https://docs.google.com/spreadsheets/d/1XL5vhW3sbDhbH9Cz0tuDiY8C3ctxq1tqvaCgkFb8cCA/edit?usp=sharing"",""กาฬสินธุ์!M496"")"),1400)</f>
        <v>1400</v>
      </c>
      <c r="O601" s="169">
        <f t="shared" ca="1" si="126"/>
        <v>30.76923076923077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IFERROR(__xludf.DUMMYFUNCTION("IMPORTRANGE(""https://docs.google.com/spreadsheets/d/1XL5vhW3sbDhbH9Cz0tuDiY8C3ctxq1tqvaCgkFb8cCA/edit?usp=sharing"",""กาฬสินธุ์!M497"")"),0)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IFERROR(__xludf.DUMMYFUNCTION("IMPORTRANGE(""https://docs.google.com/spreadsheets/d/1XL5vhW3sbDhbH9Cz0tuDiY8C3ctxq1tqvaCgkFb8cCA/edit?usp=sharing"",""กาฬสินธุ์!M498"")"),0)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IFERROR(__xludf.DUMMYFUNCTION("IMPORTRANGE(""https://docs.google.com/spreadsheets/d/1XL5vhW3sbDhbH9Cz0tuDiY8C3ctxq1tqvaCgkFb8cCA/edit?usp=sharing"",""กาฬสินธุ์!M499"")"),0)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IFERROR(__xludf.DUMMYFUNCTION("IMPORTRANGE(""https://docs.google.com/spreadsheets/d/1XL5vhW3sbDhbH9Cz0tuDiY8C3ctxq1tqvaCgkFb8cCA/edit?usp=sharing"",""กาฬสินธุ์!M500"")"),1400)</f>
        <v>1400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IFERROR(__xludf.DUMMYFUNCTION("IMPORTRANGE(""https://docs.google.com/spreadsheets/d/1XL5vhW3sbDhbH9Cz0tuDiY8C3ctxq1tqvaCgkFb8cCA/edit?usp=sharing"",""กาฬสินธุ์!J502"")"),0)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IFERROR(__xludf.DUMMYFUNCTION("IMPORTRANGE(""https://docs.google.com/spreadsheets/d/1XL5vhW3sbDhbH9Cz0tuDiY8C3ctxq1tqvaCgkFb8cCA/edit?usp=sharing"",""กาฬสินธุ์!J503"")"),1)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IFERROR(__xludf.DUMMYFUNCTION("IMPORTRANGE(""https://docs.google.com/spreadsheets/d/1XL5vhW3sbDhbH9Cz0tuDiY8C3ctxq1tqvaCgkFb8cCA/edit?usp=sharing"",""กาฬสินธุ์!J166"")"),0)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IFERROR(__xludf.DUMMYFUNCTION("IMPORTRANGE(""https://docs.google.com/spreadsheets/d/1XL5vhW3sbDhbH9Cz0tuDiY8C3ctxq1tqvaCgkFb8cCA/edit?usp=sharing"",""กาฬสินธุ์!J166"")"),0)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IFERROR(__xludf.DUMMYFUNCTION("IMPORTRANGE(""https://docs.google.com/spreadsheets/d/1XL5vhW3sbDhbH9Cz0tuDiY8C3ctxq1tqvaCgkFb8cCA/edit?usp=sharing"",""กาฬสินธุ์!I506"")"),50)</f>
        <v>50</v>
      </c>
      <c r="J611" s="162">
        <f ca="1">IFERROR(__xludf.DUMMYFUNCTION("IMPORTRANGE(""https://docs.google.com/spreadsheets/d/1XL5vhW3sbDhbH9Cz0tuDiY8C3ctxq1tqvaCgkFb8cCA/edit?usp=sharing"",""กาฬสินธุ์!J506"")"),0)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IFERROR(__xludf.DUMMYFUNCTION("IMPORTRANGE(""https://docs.google.com/spreadsheets/d/1XL5vhW3sbDhbH9Cz0tuDiY8C3ctxq1tqvaCgkFb8cCA/edit?usp=sharing"",""กาฬสินธุ์!I507"")"),0)</f>
        <v>0</v>
      </c>
      <c r="J612" s="198">
        <f ca="1">IFERROR(__xludf.DUMMYFUNCTION("IMPORTRANGE(""https://docs.google.com/spreadsheets/d/1XL5vhW3sbDhbH9Cz0tuDiY8C3ctxq1tqvaCgkFb8cCA/edit?usp=sharing"",""กาฬสินธุ์!J507"")"),0)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IFERROR(__xludf.DUMMYFUNCTION("IMPORTRANGE(""https://docs.google.com/spreadsheets/d/1XL5vhW3sbDhbH9Cz0tuDiY8C3ctxq1tqvaCgkFb8cCA/edit?usp=sharing"",""กาฬสินธุ์!I508"")"),0)</f>
        <v>0</v>
      </c>
      <c r="J613" s="198">
        <f ca="1">IFERROR(__xludf.DUMMYFUNCTION("IMPORTRANGE(""https://docs.google.com/spreadsheets/d/1XL5vhW3sbDhbH9Cz0tuDiY8C3ctxq1tqvaCgkFb8cCA/edit?usp=sharing"",""กาฬสินธุ์!J508"")"),0)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IFERROR(__xludf.DUMMYFUNCTION("IMPORTRANGE(""https://docs.google.com/spreadsheets/d/1XL5vhW3sbDhbH9Cz0tuDiY8C3ctxq1tqvaCgkFb8cCA/edit?usp=sharing"",""กาฬสินธุ์!I509"")"),0)</f>
        <v>0</v>
      </c>
      <c r="J614" s="198">
        <f ca="1">IFERROR(__xludf.DUMMYFUNCTION("IMPORTRANGE(""https://docs.google.com/spreadsheets/d/1XL5vhW3sbDhbH9Cz0tuDiY8C3ctxq1tqvaCgkFb8cCA/edit?usp=sharing"",""กาฬสินธุ์!J509"")"),0)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IFERROR(__xludf.DUMMYFUNCTION("IMPORTRANGE(""https://docs.google.com/spreadsheets/d/1XL5vhW3sbDhbH9Cz0tuDiY8C3ctxq1tqvaCgkFb8cCA/edit?usp=sharing"",""กาฬสินธุ์!I510"")"),0)</f>
        <v>0</v>
      </c>
      <c r="J615" s="198">
        <f ca="1">IFERROR(__xludf.DUMMYFUNCTION("IMPORTRANGE(""https://docs.google.com/spreadsheets/d/1XL5vhW3sbDhbH9Cz0tuDiY8C3ctxq1tqvaCgkFb8cCA/edit?usp=sharing"",""กาฬสินธุ์!J510"")"),0)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IFERROR(__xludf.DUMMYFUNCTION("IMPORTRANGE(""https://docs.google.com/spreadsheets/d/1XL5vhW3sbDhbH9Cz0tuDiY8C3ctxq1tqvaCgkFb8cCA/edit?usp=sharing"",""กาฬสินธุ์!I511"")"),0)</f>
        <v>0</v>
      </c>
      <c r="J616" s="198">
        <f ca="1">IFERROR(__xludf.DUMMYFUNCTION("IMPORTRANGE(""https://docs.google.com/spreadsheets/d/1XL5vhW3sbDhbH9Cz0tuDiY8C3ctxq1tqvaCgkFb8cCA/edit?usp=sharing"",""กาฬสินธุ์!J511"")"),0)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IFERROR(__xludf.DUMMYFUNCTION("IMPORTRANGE(""https://docs.google.com/spreadsheets/d/1XL5vhW3sbDhbH9Cz0tuDiY8C3ctxq1tqvaCgkFb8cCA/edit?usp=sharing"",""กาฬสินธุ์!I512"")"),0)</f>
        <v>0</v>
      </c>
      <c r="J617" s="188">
        <f ca="1">IFERROR(__xludf.DUMMYFUNCTION("IMPORTRANGE(""https://docs.google.com/spreadsheets/d/1XL5vhW3sbDhbH9Cz0tuDiY8C3ctxq1tqvaCgkFb8cCA/edit?usp=sharing"",""กาฬสินธุ์!J512"")"),0)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IFERROR(__xludf.DUMMYFUNCTION("IMPORTRANGE(""https://docs.google.com/spreadsheets/d/1XL5vhW3sbDhbH9Cz0tuDiY8C3ctxq1tqvaCgkFb8cCA/edit?usp=sharing"",""กาฬสินธุ์!I513"")"),0)</f>
        <v>0</v>
      </c>
      <c r="J618" s="189">
        <f ca="1">IFERROR(__xludf.DUMMYFUNCTION("IMPORTRANGE(""https://docs.google.com/spreadsheets/d/1XL5vhW3sbDhbH9Cz0tuDiY8C3ctxq1tqvaCgkFb8cCA/edit?usp=sharing"",""กาฬสินธุ์!J513"")"),0)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IFERROR(__xludf.DUMMYFUNCTION("IMPORTRANGE(""https://docs.google.com/spreadsheets/d/1XL5vhW3sbDhbH9Cz0tuDiY8C3ctxq1tqvaCgkFb8cCA/edit?usp=sharing"",""กาฬสินธุ์!I514"")"),0)</f>
        <v>0</v>
      </c>
      <c r="J619" s="189">
        <f ca="1">IFERROR(__xludf.DUMMYFUNCTION("IMPORTRANGE(""https://docs.google.com/spreadsheets/d/1XL5vhW3sbDhbH9Cz0tuDiY8C3ctxq1tqvaCgkFb8cCA/edit?usp=sharing"",""กาฬสินธุ์!J514"")"),0)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IFERROR(__xludf.DUMMYFUNCTION("IMPORTRANGE(""https://docs.google.com/spreadsheets/d/1XL5vhW3sbDhbH9Cz0tuDiY8C3ctxq1tqvaCgkFb8cCA/edit?usp=sharing"",""กาฬสินธุ์!I515"")"),0)</f>
        <v>0</v>
      </c>
      <c r="J620" s="203">
        <f ca="1">IFERROR(__xludf.DUMMYFUNCTION("IMPORTRANGE(""https://docs.google.com/spreadsheets/d/1XL5vhW3sbDhbH9Cz0tuDiY8C3ctxq1tqvaCgkFb8cCA/edit?usp=sharing"",""กาฬสินธุ์!J515"")"),0)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IFERROR(__xludf.DUMMYFUNCTION("IMPORTRANGE(""https://docs.google.com/spreadsheets/d/1XL5vhW3sbDhbH9Cz0tuDiY8C3ctxq1tqvaCgkFb8cCA/edit?usp=sharing"",""กาฬสินธุ์!I516"")"),0)</f>
        <v>0</v>
      </c>
      <c r="J621" s="203">
        <f ca="1">IFERROR(__xludf.DUMMYFUNCTION("IMPORTRANGE(""https://docs.google.com/spreadsheets/d/1XL5vhW3sbDhbH9Cz0tuDiY8C3ctxq1tqvaCgkFb8cCA/edit?usp=sharing"",""กาฬสินธุ์!J516"")"),0)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IFERROR(__xludf.DUMMYFUNCTION("IMPORTRANGE(""https://docs.google.com/spreadsheets/d/1XL5vhW3sbDhbH9Cz0tuDiY8C3ctxq1tqvaCgkFb8cCA/edit?usp=sharing"",""กาฬสินธุ์!I517"")"),0)</f>
        <v>0</v>
      </c>
      <c r="J622" s="189">
        <f ca="1">IFERROR(__xludf.DUMMYFUNCTION("IMPORTRANGE(""https://docs.google.com/spreadsheets/d/1XL5vhW3sbDhbH9Cz0tuDiY8C3ctxq1tqvaCgkFb8cCA/edit?usp=sharing"",""กาฬสินธุ์!J517"")"),0)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IFERROR(__xludf.DUMMYFUNCTION("IMPORTRANGE(""https://docs.google.com/spreadsheets/d/1XL5vhW3sbDhbH9Cz0tuDiY8C3ctxq1tqvaCgkFb8cCA/edit?usp=sharing"",""กาฬสินธุ์!I518"")"),0)</f>
        <v>0</v>
      </c>
      <c r="J623" s="189">
        <f ca="1">IFERROR(__xludf.DUMMYFUNCTION("IMPORTRANGE(""https://docs.google.com/spreadsheets/d/1XL5vhW3sbDhbH9Cz0tuDiY8C3ctxq1tqvaCgkFb8cCA/edit?usp=sharing"",""กาฬสินธุ์!J518"")"),0)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IFERROR(__xludf.DUMMYFUNCTION("IMPORTRANGE(""https://docs.google.com/spreadsheets/d/1XL5vhW3sbDhbH9Cz0tuDiY8C3ctxq1tqvaCgkFb8cCA/edit?usp=sharing"",""กาฬสินธุ์!I519"")"),0)</f>
        <v>0</v>
      </c>
      <c r="J624" s="188">
        <f ca="1">IFERROR(__xludf.DUMMYFUNCTION("IMPORTRANGE(""https://docs.google.com/spreadsheets/d/1XL5vhW3sbDhbH9Cz0tuDiY8C3ctxq1tqvaCgkFb8cCA/edit?usp=sharing"",""กาฬสินธุ์!J519"")"),0)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IFERROR(__xludf.DUMMYFUNCTION("IMPORTRANGE(""https://docs.google.com/spreadsheets/d/1XL5vhW3sbDhbH9Cz0tuDiY8C3ctxq1tqvaCgkFb8cCA/edit?usp=sharing"",""กาฬสินธุ์!I520"")"),0)</f>
        <v>0</v>
      </c>
      <c r="J625" s="189">
        <f ca="1">IFERROR(__xludf.DUMMYFUNCTION("IMPORTRANGE(""https://docs.google.com/spreadsheets/d/1XL5vhW3sbDhbH9Cz0tuDiY8C3ctxq1tqvaCgkFb8cCA/edit?usp=sharing"",""กาฬสินธุ์!J520"")"),0)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IFERROR(__xludf.DUMMYFUNCTION("IMPORTRANGE(""https://docs.google.com/spreadsheets/d/1XL5vhW3sbDhbH9Cz0tuDiY8C3ctxq1tqvaCgkFb8cCA/edit?usp=sharing"",""กาฬสินธุ์!I521"")"),0)</f>
        <v>0</v>
      </c>
      <c r="J626" s="189">
        <f ca="1">IFERROR(__xludf.DUMMYFUNCTION("IMPORTRANGE(""https://docs.google.com/spreadsheets/d/1XL5vhW3sbDhbH9Cz0tuDiY8C3ctxq1tqvaCgkFb8cCA/edit?usp=sharing"",""กาฬสินธุ์!J521"")"),0)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IFERROR(__xludf.DUMMYFUNCTION("IMPORTRANGE(""https://docs.google.com/spreadsheets/d/1XL5vhW3sbDhbH9Cz0tuDiY8C3ctxq1tqvaCgkFb8cCA/edit?usp=sharing"",""กาฬสินธุ์!I523"")"),2687324.86)</f>
        <v>2687324.86</v>
      </c>
      <c r="J628" s="341">
        <f ca="1">IFERROR(__xludf.DUMMYFUNCTION("IMPORTRANGE(""https://docs.google.com/spreadsheets/d/1XL5vhW3sbDhbH9Cz0tuDiY8C3ctxq1tqvaCgkFb8cCA/edit?usp=sharing"",""กาฬสินธุ์!J523"")"),2072351.96)</f>
        <v>2072351.96</v>
      </c>
      <c r="K628" s="342">
        <f t="shared" ref="K628:K635" ca="1" si="129">IF(I628&gt;0,J628*100/I628,0)</f>
        <v>77.115796115546672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IFERROR(__xludf.DUMMYFUNCTION("IMPORTRANGE(""https://docs.google.com/spreadsheets/d/1XL5vhW3sbDhbH9Cz0tuDiY8C3ctxq1tqvaCgkFb8cCA/edit?usp=sharing"",""กาฬสินธุ์!I524"")"),180)</f>
        <v>180</v>
      </c>
      <c r="J629" s="341">
        <f ca="1">IFERROR(__xludf.DUMMYFUNCTION("IMPORTRANGE(""https://docs.google.com/spreadsheets/d/1XL5vhW3sbDhbH9Cz0tuDiY8C3ctxq1tqvaCgkFb8cCA/edit?usp=sharing"",""กาฬสินธุ์!J524"")"),128)</f>
        <v>128</v>
      </c>
      <c r="K629" s="342">
        <f t="shared" ca="1" si="129"/>
        <v>71.111111111111114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IFERROR(__xludf.DUMMYFUNCTION("IMPORTRANGE(""https://docs.google.com/spreadsheets/d/1XL5vhW3sbDhbH9Cz0tuDiY8C3ctxq1tqvaCgkFb8cCA/edit?usp=sharing"",""กาฬสินธุ์!I525"")"),13360089.06)</f>
        <v>13360089.060000001</v>
      </c>
      <c r="J630" s="341">
        <f ca="1">IFERROR(__xludf.DUMMYFUNCTION("IMPORTRANGE(""https://docs.google.com/spreadsheets/d/1XL5vhW3sbDhbH9Cz0tuDiY8C3ctxq1tqvaCgkFb8cCA/edit?usp=sharing"",""กาฬสินธุ์!J525"")"),1537350.34)</f>
        <v>1537350.34</v>
      </c>
      <c r="K630" s="342">
        <f t="shared" ca="1" si="129"/>
        <v>11.50703661551789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IFERROR(__xludf.DUMMYFUNCTION("IMPORTRANGE(""https://docs.google.com/spreadsheets/d/1XL5vhW3sbDhbH9Cz0tuDiY8C3ctxq1tqvaCgkFb8cCA/edit?usp=sharing"",""กาฬสินธุ์!I526"")"),620)</f>
        <v>620</v>
      </c>
      <c r="J631" s="341">
        <f ca="1">IFERROR(__xludf.DUMMYFUNCTION("IMPORTRANGE(""https://docs.google.com/spreadsheets/d/1XL5vhW3sbDhbH9Cz0tuDiY8C3ctxq1tqvaCgkFb8cCA/edit?usp=sharing"",""กาฬสินธุ์!J526"")"),166)</f>
        <v>166</v>
      </c>
      <c r="K631" s="342">
        <f t="shared" ca="1" si="129"/>
        <v>26.774193548387096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IFERROR(__xludf.DUMMYFUNCTION("IMPORTRANGE(""https://docs.google.com/spreadsheets/d/1XL5vhW3sbDhbH9Cz0tuDiY8C3ctxq1tqvaCgkFb8cCA/edit?usp=sharing"",""กาฬสินธุ์!I527"")"),2690483.62)</f>
        <v>2690483.62</v>
      </c>
      <c r="J632" s="341">
        <f ca="1">IFERROR(__xludf.DUMMYFUNCTION("IMPORTRANGE(""https://docs.google.com/spreadsheets/d/1XL5vhW3sbDhbH9Cz0tuDiY8C3ctxq1tqvaCgkFb8cCA/edit?usp=sharing"",""กาฬสินธุ์!J527"")"),98309.25)</f>
        <v>98309.25</v>
      </c>
      <c r="K632" s="342">
        <f t="shared" ca="1" si="129"/>
        <v>3.6539620337848402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IFERROR(__xludf.DUMMYFUNCTION("IMPORTRANGE(""https://docs.google.com/spreadsheets/d/1XL5vhW3sbDhbH9Cz0tuDiY8C3ctxq1tqvaCgkFb8cCA/edit?usp=sharing"",""กาฬสินธุ์!I528"")"),139)</f>
        <v>139</v>
      </c>
      <c r="J633" s="341">
        <f ca="1">IFERROR(__xludf.DUMMYFUNCTION("IMPORTRANGE(""https://docs.google.com/spreadsheets/d/1XL5vhW3sbDhbH9Cz0tuDiY8C3ctxq1tqvaCgkFb8cCA/edit?usp=sharing"",""กาฬสินธุ์!J528"")"),74)</f>
        <v>74</v>
      </c>
      <c r="K633" s="342">
        <f t="shared" ca="1" si="129"/>
        <v>53.237410071942449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IFERROR(__xludf.DUMMYFUNCTION("IMPORTRANGE(""https://docs.google.com/spreadsheets/d/1XL5vhW3sbDhbH9Cz0tuDiY8C3ctxq1tqvaCgkFb8cCA/edit?usp=sharing"",""กาฬสินธุ์!I529"")"),6950000)</f>
        <v>6950000</v>
      </c>
      <c r="J634" s="341">
        <f ca="1">IFERROR(__xludf.DUMMYFUNCTION("IMPORTRANGE(""https://docs.google.com/spreadsheets/d/1XL5vhW3sbDhbH9Cz0tuDiY8C3ctxq1tqvaCgkFb8cCA/edit?usp=sharing"",""กาฬสินธุ์!J529"")"),3960000)</f>
        <v>3960000</v>
      </c>
      <c r="K634" s="342">
        <f t="shared" ca="1" si="129"/>
        <v>56.978417266187051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IFERROR(__xludf.DUMMYFUNCTION("IMPORTRANGE(""https://docs.google.com/spreadsheets/d/1XL5vhW3sbDhbH9Cz0tuDiY8C3ctxq1tqvaCgkFb8cCA/edit?usp=sharing"",""กาฬสินธุ์!I530"")"),196)</f>
        <v>196</v>
      </c>
      <c r="J635" s="504">
        <f ca="1">IFERROR(__xludf.DUMMYFUNCTION("IMPORTRANGE(""https://docs.google.com/spreadsheets/d/1XL5vhW3sbDhbH9Cz0tuDiY8C3ctxq1tqvaCgkFb8cCA/edit?usp=sharing"",""กาฬสินธุ์!J530"")"),83)</f>
        <v>83</v>
      </c>
      <c r="K635" s="486">
        <f t="shared" ca="1" si="129"/>
        <v>42.346938775510203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12" sqref="J12"/>
      <selection pane="bottomLeft" activeCell="G567" sqref="G567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56" t="s">
        <v>0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</row>
    <row r="2" spans="1:16" ht="18" customHeight="1" x14ac:dyDescent="0.35">
      <c r="A2" s="556" t="s">
        <v>274</v>
      </c>
      <c r="B2" s="556"/>
      <c r="C2" s="556"/>
      <c r="D2" s="556"/>
      <c r="E2" s="556"/>
      <c r="F2" s="556"/>
      <c r="G2" s="556"/>
      <c r="H2" s="556"/>
      <c r="I2" s="556"/>
      <c r="J2" s="556"/>
      <c r="K2" s="556"/>
      <c r="L2" s="556"/>
      <c r="M2" s="556"/>
      <c r="N2" s="556"/>
      <c r="O2" s="556"/>
      <c r="P2" s="556"/>
    </row>
    <row r="3" spans="1:16" ht="18" customHeight="1" x14ac:dyDescent="0.35">
      <c r="A3" s="556" t="s">
        <v>278</v>
      </c>
      <c r="B3" s="556"/>
      <c r="C3" s="556"/>
      <c r="D3" s="556"/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6"/>
      <c r="P3" s="55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79" t="s">
        <v>2</v>
      </c>
      <c r="B5" s="565"/>
      <c r="C5" s="565"/>
      <c r="D5" s="565"/>
      <c r="E5" s="565"/>
      <c r="F5" s="565"/>
      <c r="G5" s="566"/>
      <c r="H5" s="578" t="s">
        <v>3</v>
      </c>
      <c r="I5" s="559" t="s">
        <v>4</v>
      </c>
      <c r="J5" s="560"/>
      <c r="K5" s="561"/>
      <c r="L5" s="562" t="s">
        <v>5</v>
      </c>
      <c r="M5" s="561"/>
      <c r="N5" s="563" t="s">
        <v>6</v>
      </c>
      <c r="O5" s="560"/>
      <c r="P5" s="561"/>
    </row>
    <row r="6" spans="1:16" ht="21.75" customHeight="1" x14ac:dyDescent="0.35">
      <c r="A6" s="567"/>
      <c r="B6" s="568"/>
      <c r="C6" s="568"/>
      <c r="D6" s="568"/>
      <c r="E6" s="568"/>
      <c r="F6" s="568"/>
      <c r="G6" s="569"/>
      <c r="H6" s="55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80" t="s">
        <v>15</v>
      </c>
      <c r="B7" s="560"/>
      <c r="C7" s="560"/>
      <c r="D7" s="560"/>
      <c r="E7" s="560"/>
      <c r="F7" s="560"/>
      <c r="G7" s="561"/>
      <c r="H7" s="512"/>
      <c r="I7" s="513"/>
      <c r="J7" s="513"/>
      <c r="K7" s="514"/>
      <c r="L7" s="515"/>
      <c r="M7" s="514"/>
      <c r="N7" s="515"/>
      <c r="O7" s="516"/>
      <c r="P7" s="516"/>
    </row>
    <row r="8" spans="1:16" ht="21.75" customHeight="1" x14ac:dyDescent="0.45">
      <c r="A8" s="17"/>
      <c r="B8" s="18"/>
      <c r="C8" s="19" t="s">
        <v>16</v>
      </c>
      <c r="D8" s="571" t="s">
        <v>17</v>
      </c>
      <c r="E8" s="555"/>
      <c r="F8" s="555"/>
      <c r="G8" s="555"/>
      <c r="H8" s="20" t="s">
        <v>12</v>
      </c>
      <c r="I8" s="21"/>
      <c r="J8" s="21"/>
      <c r="K8" s="22"/>
      <c r="L8" s="23">
        <f t="shared" ref="L8:N8" ca="1" si="0">L9+L10</f>
        <v>8317961</v>
      </c>
      <c r="M8" s="23">
        <f t="shared" ca="1" si="0"/>
        <v>3957835.74</v>
      </c>
      <c r="N8" s="23">
        <f t="shared" ca="1" si="0"/>
        <v>4256340.92</v>
      </c>
      <c r="O8" s="22">
        <f t="shared" ref="O8:O16" ca="1" si="1">IF(L8&gt;0,N8*100/L8,0)</f>
        <v>51.170484208810308</v>
      </c>
      <c r="P8" s="22">
        <f t="shared" ref="P8:P16" ca="1" si="2">IF(M8&gt;0,N8*100/M8,0)</f>
        <v>107.54213159942812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8317961</v>
      </c>
      <c r="M10" s="30">
        <f t="shared" ca="1" si="4"/>
        <v>3957835.74</v>
      </c>
      <c r="N10" s="30">
        <f t="shared" ca="1" si="4"/>
        <v>4256340.92</v>
      </c>
      <c r="O10" s="29">
        <f t="shared" ca="1" si="1"/>
        <v>51.170484208810308</v>
      </c>
      <c r="P10" s="29">
        <f t="shared" ca="1" si="2"/>
        <v>107.54213159942812</v>
      </c>
    </row>
    <row r="11" spans="1:16" ht="21.75" customHeight="1" x14ac:dyDescent="0.45">
      <c r="A11" s="31"/>
      <c r="B11" s="32"/>
      <c r="C11" s="33" t="s">
        <v>16</v>
      </c>
      <c r="D11" s="572" t="s">
        <v>20</v>
      </c>
      <c r="E11" s="553"/>
      <c r="F11" s="55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8178961</v>
      </c>
      <c r="M12" s="38">
        <f t="shared" ca="1" si="6"/>
        <v>3818835.74</v>
      </c>
      <c r="N12" s="38">
        <f t="shared" ca="1" si="6"/>
        <v>4117340.92</v>
      </c>
      <c r="O12" s="38">
        <f t="shared" ca="1" si="1"/>
        <v>50.340635198040438</v>
      </c>
      <c r="P12" s="38">
        <f t="shared" ca="1" si="2"/>
        <v>107.81665408840024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2254100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5924861</v>
      </c>
      <c r="M14" s="38">
        <f t="shared" si="8"/>
        <v>0</v>
      </c>
      <c r="N14" s="38">
        <f t="shared" ca="1" si="8"/>
        <v>1324039.96</v>
      </c>
      <c r="O14" s="38">
        <f t="shared" ca="1" si="1"/>
        <v>22.347190254758718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2" t="s">
        <v>23</v>
      </c>
      <c r="E15" s="55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139000</v>
      </c>
      <c r="M16" s="38">
        <f t="shared" ca="1" si="10"/>
        <v>139000</v>
      </c>
      <c r="N16" s="38">
        <f t="shared" ca="1" si="10"/>
        <v>139000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80" t="s">
        <v>24</v>
      </c>
      <c r="B17" s="560"/>
      <c r="C17" s="560"/>
      <c r="D17" s="560"/>
      <c r="E17" s="560"/>
      <c r="F17" s="560"/>
      <c r="G17" s="561"/>
      <c r="H17" s="512"/>
      <c r="I17" s="513"/>
      <c r="J17" s="513"/>
      <c r="K17" s="514"/>
      <c r="L17" s="515"/>
      <c r="M17" s="514"/>
      <c r="N17" s="515"/>
      <c r="O17" s="516"/>
      <c r="P17" s="516"/>
    </row>
    <row r="18" spans="1:16" ht="21.75" customHeight="1" x14ac:dyDescent="0.45">
      <c r="A18" s="17"/>
      <c r="B18" s="18"/>
      <c r="C18" s="19" t="s">
        <v>16</v>
      </c>
      <c r="D18" s="571" t="s">
        <v>17</v>
      </c>
      <c r="E18" s="555"/>
      <c r="F18" s="555"/>
      <c r="G18" s="555"/>
      <c r="H18" s="20" t="s">
        <v>12</v>
      </c>
      <c r="I18" s="21"/>
      <c r="J18" s="21"/>
      <c r="K18" s="22"/>
      <c r="L18" s="23">
        <f t="shared" ref="L18:N18" ca="1" si="11">L19+L20</f>
        <v>4967970</v>
      </c>
      <c r="M18" s="23">
        <f t="shared" ca="1" si="11"/>
        <v>3957835.74</v>
      </c>
      <c r="N18" s="23">
        <f t="shared" ca="1" si="11"/>
        <v>2932300.96</v>
      </c>
      <c r="O18" s="22">
        <f t="shared" ref="O18:O20" ca="1" si="12">IF(L18&gt;0,N18*100/L18,0)</f>
        <v>59.024127762446227</v>
      </c>
      <c r="P18" s="22">
        <f t="shared" ref="P18:P26" ca="1" si="13">IF(M18&gt;0,N18*100/M18,0)</f>
        <v>74.088495648381809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4967970</v>
      </c>
      <c r="M20" s="30">
        <f t="shared" ca="1" si="15"/>
        <v>3957835.74</v>
      </c>
      <c r="N20" s="30">
        <f t="shared" ca="1" si="15"/>
        <v>2932300.96</v>
      </c>
      <c r="O20" s="29">
        <f t="shared" ca="1" si="12"/>
        <v>59.024127762446227</v>
      </c>
      <c r="P20" s="29">
        <f t="shared" ca="1" si="13"/>
        <v>74.088495648381809</v>
      </c>
    </row>
    <row r="21" spans="1:16" ht="21.75" customHeight="1" x14ac:dyDescent="0.45">
      <c r="A21" s="31"/>
      <c r="B21" s="32"/>
      <c r="C21" s="33" t="s">
        <v>16</v>
      </c>
      <c r="D21" s="572" t="s">
        <v>20</v>
      </c>
      <c r="E21" s="553"/>
      <c r="F21" s="55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4828970</v>
      </c>
      <c r="M22" s="41">
        <f t="shared" ca="1" si="18"/>
        <v>3818835.74</v>
      </c>
      <c r="N22" s="38">
        <f t="shared" ca="1" si="18"/>
        <v>2793300.96</v>
      </c>
      <c r="O22" s="38">
        <f t="shared" ca="1" si="17"/>
        <v>57.844653414703345</v>
      </c>
      <c r="P22" s="38">
        <f t="shared" ca="1" si="13"/>
        <v>73.145355029069663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2254100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2574870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2" t="s">
        <v>23</v>
      </c>
      <c r="E25" s="55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139000</v>
      </c>
      <c r="M26" s="49">
        <f t="shared" ca="1" si="22"/>
        <v>139000</v>
      </c>
      <c r="N26" s="49">
        <f t="shared" ca="1" si="22"/>
        <v>139000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80" t="s">
        <v>25</v>
      </c>
      <c r="B27" s="560"/>
      <c r="C27" s="560"/>
      <c r="D27" s="560"/>
      <c r="E27" s="560"/>
      <c r="F27" s="560"/>
      <c r="G27" s="561"/>
      <c r="H27" s="512"/>
      <c r="I27" s="513"/>
      <c r="J27" s="513"/>
      <c r="K27" s="514"/>
      <c r="L27" s="515"/>
      <c r="M27" s="514"/>
      <c r="N27" s="515"/>
      <c r="O27" s="516"/>
      <c r="P27" s="516"/>
    </row>
    <row r="28" spans="1:16" ht="21.75" customHeight="1" x14ac:dyDescent="0.45">
      <c r="A28" s="17"/>
      <c r="B28" s="18"/>
      <c r="C28" s="19" t="s">
        <v>16</v>
      </c>
      <c r="D28" s="571" t="s">
        <v>17</v>
      </c>
      <c r="E28" s="555"/>
      <c r="F28" s="555"/>
      <c r="G28" s="555"/>
      <c r="H28" s="20" t="s">
        <v>12</v>
      </c>
      <c r="I28" s="21"/>
      <c r="J28" s="21"/>
      <c r="K28" s="22"/>
      <c r="L28" s="23">
        <f t="shared" ref="L28:N28" ca="1" si="23">L29+L30</f>
        <v>3349991</v>
      </c>
      <c r="M28" s="23">
        <f t="shared" si="23"/>
        <v>0</v>
      </c>
      <c r="N28" s="23">
        <f t="shared" ca="1" si="23"/>
        <v>1324039.96</v>
      </c>
      <c r="O28" s="22">
        <f t="shared" ref="O28:O30" ca="1" si="24">IF(L28&gt;0,N28*100/L28,0)</f>
        <v>39.523687078562304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3349991</v>
      </c>
      <c r="M30" s="30">
        <f t="shared" si="27"/>
        <v>0</v>
      </c>
      <c r="N30" s="30">
        <f t="shared" ca="1" si="27"/>
        <v>1324039.96</v>
      </c>
      <c r="O30" s="29">
        <f t="shared" ca="1" si="24"/>
        <v>39.523687078562304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2" t="s">
        <v>20</v>
      </c>
      <c r="E31" s="553"/>
      <c r="F31" s="55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3349991</v>
      </c>
      <c r="M32" s="38">
        <f t="shared" si="30"/>
        <v>0</v>
      </c>
      <c r="N32" s="38">
        <f t="shared" ca="1" si="30"/>
        <v>1324039.96</v>
      </c>
      <c r="O32" s="38">
        <f t="shared" ca="1" si="29"/>
        <v>39.523687078562304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3349991</v>
      </c>
      <c r="M34" s="38">
        <f t="shared" si="32"/>
        <v>0</v>
      </c>
      <c r="N34" s="38">
        <f t="shared" ca="1" si="32"/>
        <v>1324039.96</v>
      </c>
      <c r="O34" s="38">
        <f t="shared" ca="1" si="29"/>
        <v>39.523687078562304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2" t="s">
        <v>23</v>
      </c>
      <c r="E35" s="55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4967970</v>
      </c>
      <c r="M37" s="54">
        <f t="shared" ca="1" si="33"/>
        <v>3957835.74</v>
      </c>
      <c r="N37" s="54">
        <f t="shared" ca="1" si="33"/>
        <v>2932300.96</v>
      </c>
      <c r="O37" s="55">
        <f t="shared" ca="1" si="29"/>
        <v>59.024127762446227</v>
      </c>
      <c r="P37" s="55">
        <f t="shared" ca="1" si="25"/>
        <v>74.088495648381809</v>
      </c>
    </row>
    <row r="38" spans="1:16" ht="21.75" customHeight="1" x14ac:dyDescent="0.45">
      <c r="A38" s="581" t="s">
        <v>27</v>
      </c>
      <c r="B38" s="560"/>
      <c r="C38" s="560"/>
      <c r="D38" s="560"/>
      <c r="E38" s="560"/>
      <c r="F38" s="560"/>
      <c r="G38" s="561"/>
      <c r="H38" s="517"/>
      <c r="I38" s="518"/>
      <c r="J38" s="518"/>
      <c r="K38" s="519"/>
      <c r="L38" s="520"/>
      <c r="M38" s="520"/>
      <c r="N38" s="520"/>
      <c r="O38" s="520"/>
      <c r="P38" s="520"/>
    </row>
    <row r="39" spans="1:16" ht="21.75" customHeight="1" x14ac:dyDescent="0.45">
      <c r="A39" s="521"/>
      <c r="B39" s="582" t="s">
        <v>28</v>
      </c>
      <c r="C39" s="555"/>
      <c r="D39" s="555"/>
      <c r="E39" s="555"/>
      <c r="F39" s="555"/>
      <c r="G39" s="555"/>
      <c r="H39" s="522"/>
      <c r="I39" s="523"/>
      <c r="J39" s="523"/>
      <c r="K39" s="524"/>
      <c r="L39" s="525"/>
      <c r="M39" s="525"/>
      <c r="N39" s="525"/>
      <c r="O39" s="524"/>
      <c r="P39" s="524"/>
    </row>
    <row r="40" spans="1:16" ht="21.75" customHeight="1" x14ac:dyDescent="0.45">
      <c r="A40" s="526"/>
      <c r="B40" s="527" t="s">
        <v>29</v>
      </c>
      <c r="C40" s="528"/>
      <c r="D40" s="528"/>
      <c r="E40" s="528"/>
      <c r="F40" s="528"/>
      <c r="G40" s="528"/>
      <c r="H40" s="529"/>
      <c r="I40" s="530"/>
      <c r="J40" s="530"/>
      <c r="K40" s="531"/>
      <c r="L40" s="532"/>
      <c r="M40" s="532"/>
      <c r="N40" s="532"/>
      <c r="O40" s="531"/>
      <c r="P40" s="531"/>
    </row>
    <row r="41" spans="1:16" ht="21.75" customHeight="1" x14ac:dyDescent="0.45">
      <c r="A41" s="72"/>
      <c r="B41" s="73"/>
      <c r="C41" s="74" t="s">
        <v>16</v>
      </c>
      <c r="D41" s="575" t="s">
        <v>17</v>
      </c>
      <c r="E41" s="553"/>
      <c r="F41" s="553"/>
      <c r="G41" s="553"/>
      <c r="H41" s="75" t="s">
        <v>12</v>
      </c>
      <c r="I41" s="76"/>
      <c r="J41" s="76"/>
      <c r="K41" s="77"/>
      <c r="L41" s="78">
        <f t="shared" ref="L41:N41" ca="1" si="34">L42+L43</f>
        <v>849100</v>
      </c>
      <c r="M41" s="78">
        <f t="shared" ca="1" si="34"/>
        <v>636800</v>
      </c>
      <c r="N41" s="78">
        <f t="shared" ca="1" si="34"/>
        <v>479061.15</v>
      </c>
      <c r="O41" s="77">
        <f t="shared" ref="O41:O43" ca="1" si="35">IF(L41&gt;0,N41*100/L41,0)</f>
        <v>56.419873984218583</v>
      </c>
      <c r="P41" s="77">
        <f t="shared" ref="P41:P43" ca="1" si="36">IF(M41&gt;0,N41*100/M41,0)</f>
        <v>75.229451947236186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849100</v>
      </c>
      <c r="M43" s="78">
        <f t="shared" ca="1" si="38"/>
        <v>636800</v>
      </c>
      <c r="N43" s="78">
        <f t="shared" ca="1" si="38"/>
        <v>479061.15</v>
      </c>
      <c r="O43" s="77">
        <f t="shared" ca="1" si="35"/>
        <v>56.419873984218583</v>
      </c>
      <c r="P43" s="77">
        <f t="shared" ca="1" si="36"/>
        <v>75.229451947236186</v>
      </c>
    </row>
    <row r="44" spans="1:16" ht="21.75" customHeight="1" x14ac:dyDescent="0.45">
      <c r="A44" s="79"/>
      <c r="B44" s="80"/>
      <c r="C44" s="81" t="s">
        <v>16</v>
      </c>
      <c r="D44" s="552" t="s">
        <v>20</v>
      </c>
      <c r="E44" s="553"/>
      <c r="F44" s="55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849100</v>
      </c>
      <c r="M45" s="533">
        <f ca="1">IFERROR(__xludf.DUMMYFUNCTION("IMPORTRANGE(""https://docs.google.com/spreadsheets/d/1Yj_ptqi66GCucihVvJfMjLAmec39IyEx_6qawtMGysU/edit?usp=sharing"",""สบก!Q56"")"),636800)</f>
        <v>636800</v>
      </c>
      <c r="N45" s="533">
        <f ca="1">IFERROR(__xludf.DUMMYFUNCTION("IMPORTRANGE(""https://docs.google.com/spreadsheets/d/1Yj_ptqi66GCucihVvJfMjLAmec39IyEx_6qawtMGysU/edit?usp=sharing"",""สบก!R56"")"),479061.15)</f>
        <v>479061.15</v>
      </c>
      <c r="O45" s="534">
        <f ca="1">IF(L45&gt;0,N45*100/L45,0)</f>
        <v>56.419873984218583</v>
      </c>
      <c r="P45" s="534">
        <f ca="1">IF(M45&gt;0,N45*100/M45,0)</f>
        <v>75.229451947236186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533">
        <f ca="1">IFERROR(__xludf.DUMMYFUNCTION("IMPORTRANGE(""https://docs.google.com/spreadsheets/d/1Yj_ptqi66GCucihVvJfMjLAmec39IyEx_6qawtMGysU/edit?usp=sharing"",""สบก!M56"")"),849100)</f>
        <v>849100</v>
      </c>
      <c r="M46" s="535"/>
      <c r="N46" s="38"/>
      <c r="O46" s="534"/>
      <c r="P46" s="534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533">
        <f ca="1">IFERROR(__xludf.DUMMYFUNCTION("IMPORTRANGE(""https://docs.google.com/spreadsheets/d/1Yj_ptqi66GCucihVvJfMjLAmec39IyEx_6qawtMGysU/edit?usp=sharing"",""สบก!N56"")"),0)</f>
        <v>0</v>
      </c>
      <c r="M47" s="535"/>
      <c r="N47" s="38"/>
      <c r="O47" s="534"/>
      <c r="P47" s="534"/>
    </row>
    <row r="48" spans="1:16" ht="21.75" customHeight="1" x14ac:dyDescent="0.45">
      <c r="A48" s="79"/>
      <c r="B48" s="80"/>
      <c r="C48" s="81" t="s">
        <v>16</v>
      </c>
      <c r="D48" s="552" t="s">
        <v>23</v>
      </c>
      <c r="E48" s="55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535"/>
      <c r="N48" s="41"/>
      <c r="O48" s="535"/>
      <c r="P48" s="535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33">
        <f ca="1">IFERROR(__xludf.DUMMYFUNCTION("IMPORTRANGE(""https://docs.google.com/spreadsheets/d/1Yj_ptqi66GCucihVvJfMjLAmec39IyEx_6qawtMGysU/edit?usp=sharing"",""สบก!O56"")"),0)</f>
        <v>0</v>
      </c>
      <c r="M49" s="536"/>
      <c r="N49" s="533">
        <f ca="1">IFERROR(__xludf.DUMMYFUNCTION("IMPORTRANGE(""https://docs.google.com/spreadsheets/d/1Yj_ptqi66GCucihVvJfMjLAmec39IyEx_6qawtMGysU/edit?usp=sharing"",""สบก!S56"")"),0)</f>
        <v>0</v>
      </c>
      <c r="O49" s="536">
        <f ca="1">IF(L49&gt;0,N49*100/L49,0)</f>
        <v>0</v>
      </c>
      <c r="P49" s="536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76" t="s">
        <v>32</v>
      </c>
      <c r="C52" s="553"/>
      <c r="D52" s="553"/>
      <c r="E52" s="553"/>
      <c r="F52" s="553"/>
      <c r="G52" s="55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77" t="s">
        <v>17</v>
      </c>
      <c r="E53" s="553"/>
      <c r="F53" s="553"/>
      <c r="G53" s="553"/>
      <c r="H53" s="118" t="s">
        <v>12</v>
      </c>
      <c r="I53" s="119"/>
      <c r="J53" s="119"/>
      <c r="K53" s="120"/>
      <c r="L53" s="121">
        <f t="shared" ref="L53:N53" ca="1" si="39">L54+L55</f>
        <v>630000</v>
      </c>
      <c r="M53" s="121">
        <f t="shared" ca="1" si="39"/>
        <v>500770.74</v>
      </c>
      <c r="N53" s="121">
        <f t="shared" ca="1" si="39"/>
        <v>363264</v>
      </c>
      <c r="O53" s="120">
        <f t="shared" ref="O53:O55" ca="1" si="40">IF(L53&gt;0,N53*100/L53,0)</f>
        <v>57.660952380952381</v>
      </c>
      <c r="P53" s="120">
        <f t="shared" ref="P53:P55" ca="1" si="41">IF(M53&gt;0,N53*100/M53,0)</f>
        <v>72.540979530872747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630000</v>
      </c>
      <c r="M55" s="121">
        <f t="shared" ca="1" si="43"/>
        <v>500770.74</v>
      </c>
      <c r="N55" s="121">
        <f t="shared" ca="1" si="43"/>
        <v>363264</v>
      </c>
      <c r="O55" s="120">
        <f t="shared" ca="1" si="40"/>
        <v>57.660952380952381</v>
      </c>
      <c r="P55" s="120">
        <f t="shared" ca="1" si="41"/>
        <v>72.540979530872747</v>
      </c>
    </row>
    <row r="56" spans="1:16" ht="21.75" customHeight="1" x14ac:dyDescent="0.45">
      <c r="A56" s="79"/>
      <c r="B56" s="80"/>
      <c r="C56" s="81" t="s">
        <v>16</v>
      </c>
      <c r="D56" s="552" t="s">
        <v>20</v>
      </c>
      <c r="E56" s="553"/>
      <c r="F56" s="55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630000</v>
      </c>
      <c r="M57" s="533">
        <f ca="1">IFERROR(__xludf.DUMMYFUNCTION("IMPORTRANGE(""https://docs.google.com/spreadsheets/d/1Yj_ptqi66GCucihVvJfMjLAmec39IyEx_6qawtMGysU/edit?usp=sharing"",""สบก!Z56"")"),500770.74)</f>
        <v>500770.74</v>
      </c>
      <c r="N57" s="533">
        <f ca="1">IFERROR(__xludf.DUMMYFUNCTION("IMPORTRANGE(""https://docs.google.com/spreadsheets/d/1Yj_ptqi66GCucihVvJfMjLAmec39IyEx_6qawtMGysU/edit?usp=sharing"",""สบก!AA56"")"),363264)</f>
        <v>363264</v>
      </c>
      <c r="O57" s="534">
        <f ca="1">IF(L57&gt;0,N57*100/L57,0)</f>
        <v>57.660952380952381</v>
      </c>
      <c r="P57" s="534">
        <f ca="1">IF(M57&gt;0,N57*100/M57,0)</f>
        <v>72.540979530872747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533">
        <f ca="1">IFERROR(__xludf.DUMMYFUNCTION("IMPORTRANGE(""https://docs.google.com/spreadsheets/d/1Yj_ptqi66GCucihVvJfMjLAmec39IyEx_6qawtMGysU/edit?usp=sharing"",""สบก!V56"")"),630000)</f>
        <v>630000</v>
      </c>
      <c r="M58" s="535"/>
      <c r="N58" s="38"/>
      <c r="O58" s="534"/>
      <c r="P58" s="534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533">
        <f ca="1">IFERROR(__xludf.DUMMYFUNCTION("IMPORTRANGE(""https://docs.google.com/spreadsheets/d/1Yj_ptqi66GCucihVvJfMjLAmec39IyEx_6qawtMGysU/edit?usp=sharing"",""สบก!W56"")"),0)</f>
        <v>0</v>
      </c>
      <c r="M59" s="535"/>
      <c r="N59" s="38"/>
      <c r="O59" s="534"/>
      <c r="P59" s="534"/>
    </row>
    <row r="60" spans="1:16" ht="21.75" customHeight="1" x14ac:dyDescent="0.45">
      <c r="A60" s="79"/>
      <c r="B60" s="80"/>
      <c r="C60" s="81" t="s">
        <v>16</v>
      </c>
      <c r="D60" s="552" t="s">
        <v>23</v>
      </c>
      <c r="E60" s="55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535"/>
      <c r="N60" s="41"/>
      <c r="O60" s="535"/>
      <c r="P60" s="535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33">
        <f ca="1">IFERROR(__xludf.DUMMYFUNCTION("IMPORTRANGE(""https://docs.google.com/spreadsheets/d/1Yj_ptqi66GCucihVvJfMjLAmec39IyEx_6qawtMGysU/edit?usp=sharing"",""สบก!X56"")"),0)</f>
        <v>0</v>
      </c>
      <c r="M61" s="536"/>
      <c r="N61" s="533">
        <f ca="1">IFERROR(__xludf.DUMMYFUNCTION("IMPORTRANGE(""https://docs.google.com/spreadsheets/d/1Yj_ptqi66GCucihVvJfMjLAmec39IyEx_6qawtMGysU/edit?usp=sharing"",""สบก!AB56"")"),0)</f>
        <v>0</v>
      </c>
      <c r="O61" s="536">
        <f ca="1">IF(L61&gt;0,N61*100/L61,0)</f>
        <v>0</v>
      </c>
      <c r="P61" s="536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IFERROR(__xludf.DUMMYFUNCTION("IMPORTRANGE(""https://docs.google.com/spreadsheets/d/1XL5vhW3sbDhbH9Cz0tuDiY8C3ctxq1tqvaCgkFb8cCA/edit?usp=sharing"",""อุดรธานี!I9"")"),1)</f>
        <v>1</v>
      </c>
      <c r="J64" s="142">
        <f ca="1">IFERROR(__xludf.DUMMYFUNCTION("IMPORTRANGE(""https://docs.google.com/spreadsheets/d/1XL5vhW3sbDhbH9Cz0tuDiY8C3ctxq1tqvaCgkFb8cCA/edit?usp=sharing"",""อุดรธานี!J9"")"),1)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IFERROR(__xludf.DUMMYFUNCTION("IMPORTRANGE(""https://docs.google.com/spreadsheets/d/1XL5vhW3sbDhbH9Cz0tuDiY8C3ctxq1tqvaCgkFb8cCA/edit?usp=sharing"",""อุดรธานี!I10"")"),70)</f>
        <v>70</v>
      </c>
      <c r="J65" s="142">
        <f ca="1">IFERROR(__xludf.DUMMYFUNCTION("IMPORTRANGE(""https://docs.google.com/spreadsheets/d/1XL5vhW3sbDhbH9Cz0tuDiY8C3ctxq1tqvaCgkFb8cCA/edit?usp=sharing"",""อุดรธานี!J10"")"),70)</f>
        <v>70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54" t="s">
        <v>17</v>
      </c>
      <c r="E66" s="555"/>
      <c r="F66" s="555"/>
      <c r="G66" s="555"/>
      <c r="H66" s="149" t="s">
        <v>12</v>
      </c>
      <c r="I66" s="150"/>
      <c r="J66" s="150"/>
      <c r="K66" s="151"/>
      <c r="L66" s="152">
        <f t="shared" ref="L66:N66" ca="1" si="45">L67+L68</f>
        <v>1059000</v>
      </c>
      <c r="M66" s="152">
        <f t="shared" ca="1" si="45"/>
        <v>869320</v>
      </c>
      <c r="N66" s="152">
        <f t="shared" ca="1" si="45"/>
        <v>556896.62</v>
      </c>
      <c r="O66" s="151">
        <f t="shared" ref="O66:O68" ca="1" si="46">IF(L66&gt;0,N66*100/L66,0)</f>
        <v>52.587027384324834</v>
      </c>
      <c r="P66" s="151">
        <f t="shared" ref="P66:P68" ca="1" si="47">IF(M66&gt;0,N66*100/M66,0)</f>
        <v>64.061176551787611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1059000</v>
      </c>
      <c r="M68" s="157">
        <f t="shared" ca="1" si="49"/>
        <v>869320</v>
      </c>
      <c r="N68" s="157">
        <f t="shared" ca="1" si="49"/>
        <v>556896.62</v>
      </c>
      <c r="O68" s="156">
        <f t="shared" ca="1" si="46"/>
        <v>52.587027384324834</v>
      </c>
      <c r="P68" s="156">
        <f t="shared" ca="1" si="47"/>
        <v>64.061176551787611</v>
      </c>
    </row>
    <row r="69" spans="1:16" ht="21.75" customHeight="1" x14ac:dyDescent="0.45">
      <c r="A69" s="158"/>
      <c r="B69" s="159"/>
      <c r="C69" s="159" t="s">
        <v>16</v>
      </c>
      <c r="D69" s="552" t="s">
        <v>20</v>
      </c>
      <c r="E69" s="553"/>
      <c r="F69" s="55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1059000</v>
      </c>
      <c r="M70" s="537">
        <f ca="1">IFERROR(__xludf.DUMMYFUNCTION("IMPORTRANGE(""https://docs.google.com/spreadsheets/d/1Yj_ptqi66GCucihVvJfMjLAmec39IyEx_6qawtMGysU/edit?usp=sharing"",""สบก!AI56"")"),869320)</f>
        <v>869320</v>
      </c>
      <c r="N70" s="538">
        <f ca="1">IFERROR(__xludf.DUMMYFUNCTION("IMPORTRANGE(""https://docs.google.com/spreadsheets/d/1Yj_ptqi66GCucihVvJfMjLAmec39IyEx_6qawtMGysU/edit?usp=sharing"",""สบก!AJ56"")"),556896.62)</f>
        <v>556896.62</v>
      </c>
      <c r="O70" s="169">
        <f ca="1">IF(L70&gt;0,N70*100/L70,0)</f>
        <v>52.587027384324834</v>
      </c>
      <c r="P70" s="169">
        <f ca="1">IF(M70&gt;0,N70*100/M70,0)</f>
        <v>64.061176551787611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537">
        <f ca="1">IFERROR(__xludf.DUMMYFUNCTION("IMPORTRANGE(""https://docs.google.com/spreadsheets/d/1Yj_ptqi66GCucihVvJfMjLAmec39IyEx_6qawtMGysU/edit?usp=sharing"",""สบก!AE56"")"),469000)</f>
        <v>469000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537">
        <f ca="1">IFERROR(__xludf.DUMMYFUNCTION("IMPORTRANGE(""https://docs.google.com/spreadsheets/d/1Yj_ptqi66GCucihVvJfMjLAmec39IyEx_6qawtMGysU/edit?usp=sharing"",""สบก!AF56"")"),590000)</f>
        <v>590000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52" t="s">
        <v>23</v>
      </c>
      <c r="E73" s="553"/>
      <c r="F73" s="89"/>
      <c r="G73" s="82" t="s">
        <v>18</v>
      </c>
      <c r="H73" s="172" t="s">
        <v>12</v>
      </c>
      <c r="I73" s="84"/>
      <c r="J73" s="84"/>
      <c r="K73" s="85"/>
      <c r="L73" s="535">
        <v>0</v>
      </c>
      <c r="M73" s="535"/>
      <c r="N73" s="41"/>
      <c r="O73" s="535"/>
      <c r="P73" s="535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533">
        <f ca="1">IFERROR(__xludf.DUMMYFUNCTION("IMPORTRANGE(""https://docs.google.com/spreadsheets/d/1Yj_ptqi66GCucihVvJfMjLAmec39IyEx_6qawtMGysU/edit?usp=sharing"",""สบก!AG56"")"),0)</f>
        <v>0</v>
      </c>
      <c r="M74" s="536"/>
      <c r="N74" s="533">
        <f ca="1">IFERROR(__xludf.DUMMYFUNCTION("IMPORTRANGE(""https://docs.google.com/spreadsheets/d/1Yj_ptqi66GCucihVvJfMjLAmec39IyEx_6qawtMGysU/edit?usp=sharing"",""สบก!AK56"")"),0)</f>
        <v>0</v>
      </c>
      <c r="O74" s="536">
        <f ca="1">IF(L74&gt;0,N74*100/L74,0)</f>
        <v>0</v>
      </c>
      <c r="P74" s="536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IFERROR(__xludf.DUMMYFUNCTION("IMPORTRANGE(""https://docs.google.com/spreadsheets/d/1XL5vhW3sbDhbH9Cz0tuDiY8C3ctxq1tqvaCgkFb8cCA/edit?usp=sharing"",""อุดรธานี!J16"")"),0)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IFERROR(__xludf.DUMMYFUNCTION("IMPORTRANGE(""https://docs.google.com/spreadsheets/d/1XL5vhW3sbDhbH9Cz0tuDiY8C3ctxq1tqvaCgkFb8cCA/edit?usp=sharing"",""อุดรธานี!J17"")"),1)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IFERROR(__xludf.DUMMYFUNCTION("IMPORTRANGE(""https://docs.google.com/spreadsheets/d/1XL5vhW3sbDhbH9Cz0tuDiY8C3ctxq1tqvaCgkFb8cCA/edit?usp=sharing"",""อุดรธานี!J18"")"),1)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IFERROR(__xludf.DUMMYFUNCTION("IMPORTRANGE(""https://docs.google.com/spreadsheets/d/1XL5vhW3sbDhbH9Cz0tuDiY8C3ctxq1tqvaCgkFb8cCA/edit?usp=sharing"",""อุดรธานี!J19"")"),1)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IFERROR(__xludf.DUMMYFUNCTION("IMPORTRANGE(""https://docs.google.com/spreadsheets/d/1XL5vhW3sbDhbH9Cz0tuDiY8C3ctxq1tqvaCgkFb8cCA/edit?usp=sharing"",""อุดรธานี!I20"")"),1)</f>
        <v>1</v>
      </c>
      <c r="J80" s="201">
        <f ca="1">IFERROR(__xludf.DUMMYFUNCTION("IMPORTRANGE(""https://docs.google.com/spreadsheets/d/1XL5vhW3sbDhbH9Cz0tuDiY8C3ctxq1tqvaCgkFb8cCA/edit?usp=sharing"",""อุดรธานี!J20"")"),1)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IFERROR(__xludf.DUMMYFUNCTION("IMPORTRANGE(""https://docs.google.com/spreadsheets/d/1XL5vhW3sbDhbH9Cz0tuDiY8C3ctxq1tqvaCgkFb8cCA/edit?usp=sharing"",""อุดรธานี!I21"")"),70)</f>
        <v>70</v>
      </c>
      <c r="J81" s="201">
        <f ca="1">IFERROR(__xludf.DUMMYFUNCTION("IMPORTRANGE(""https://docs.google.com/spreadsheets/d/1XL5vhW3sbDhbH9Cz0tuDiY8C3ctxq1tqvaCgkFb8cCA/edit?usp=sharing"",""อุดรธานี!J21"")"),70)</f>
        <v>70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IFERROR(__xludf.DUMMYFUNCTION("IMPORTRANGE(""https://docs.google.com/spreadsheets/d/1XL5vhW3sbDhbH9Cz0tuDiY8C3ctxq1tqvaCgkFb8cCA/edit?usp=sharing"",""อุดรธานี!I22"")"),1)</f>
        <v>1</v>
      </c>
      <c r="J82" s="204">
        <f ca="1">IFERROR(__xludf.DUMMYFUNCTION("IMPORTRANGE(""https://docs.google.com/spreadsheets/d/1XL5vhW3sbDhbH9Cz0tuDiY8C3ctxq1tqvaCgkFb8cCA/edit?usp=sharing"",""อุดรธานี!J22"")"),1)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IFERROR(__xludf.DUMMYFUNCTION("IMPORTRANGE(""https://docs.google.com/spreadsheets/d/1XL5vhW3sbDhbH9Cz0tuDiY8C3ctxq1tqvaCgkFb8cCA/edit?usp=sharing"",""อุดรธานี!I23"")"),70)</f>
        <v>70</v>
      </c>
      <c r="J83" s="204">
        <f ca="1">IFERROR(__xludf.DUMMYFUNCTION("IMPORTRANGE(""https://docs.google.com/spreadsheets/d/1XL5vhW3sbDhbH9Cz0tuDiY8C3ctxq1tqvaCgkFb8cCA/edit?usp=sharing"",""อุดรธานี!J23"")"),70)</f>
        <v>70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IFERROR(__xludf.DUMMYFUNCTION("IMPORTRANGE(""https://docs.google.com/spreadsheets/d/1XL5vhW3sbDhbH9Cz0tuDiY8C3ctxq1tqvaCgkFb8cCA/edit?usp=sharing"",""อุดรธานี!I24"")"),0)</f>
        <v>0</v>
      </c>
      <c r="J84" s="189">
        <f ca="1">IFERROR(__xludf.DUMMYFUNCTION("IMPORTRANGE(""https://docs.google.com/spreadsheets/d/1XL5vhW3sbDhbH9Cz0tuDiY8C3ctxq1tqvaCgkFb8cCA/edit?usp=sharing"",""อุดรธานี!J24"")"),0)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IFERROR(__xludf.DUMMYFUNCTION("IMPORTRANGE(""https://docs.google.com/spreadsheets/d/1XL5vhW3sbDhbH9Cz0tuDiY8C3ctxq1tqvaCgkFb8cCA/edit?usp=sharing"",""อุดรธานี!I25"")"),0)</f>
        <v>0</v>
      </c>
      <c r="J85" s="189">
        <f ca="1">IFERROR(__xludf.DUMMYFUNCTION("IMPORTRANGE(""https://docs.google.com/spreadsheets/d/1XL5vhW3sbDhbH9Cz0tuDiY8C3ctxq1tqvaCgkFb8cCA/edit?usp=sharing"",""อุดรธานี!J25"")"),0)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IFERROR(__xludf.DUMMYFUNCTION("IMPORTRANGE(""https://docs.google.com/spreadsheets/d/1XL5vhW3sbDhbH9Cz0tuDiY8C3ctxq1tqvaCgkFb8cCA/edit?usp=sharing"",""อุดรธานี!I26"")"),0)</f>
        <v>0</v>
      </c>
      <c r="J86" s="204">
        <f ca="1">IFERROR(__xludf.DUMMYFUNCTION("IMPORTRANGE(""https://docs.google.com/spreadsheets/d/1XL5vhW3sbDhbH9Cz0tuDiY8C3ctxq1tqvaCgkFb8cCA/edit?usp=sharing"",""อุดรธานี!J26"")"),0)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IFERROR(__xludf.DUMMYFUNCTION("IMPORTRANGE(""https://docs.google.com/spreadsheets/d/1XL5vhW3sbDhbH9Cz0tuDiY8C3ctxq1tqvaCgkFb8cCA/edit?usp=sharing"",""อุดรธานี!I27"")"),0)</f>
        <v>0</v>
      </c>
      <c r="J87" s="204">
        <f ca="1">IFERROR(__xludf.DUMMYFUNCTION("IMPORTRANGE(""https://docs.google.com/spreadsheets/d/1XL5vhW3sbDhbH9Cz0tuDiY8C3ctxq1tqvaCgkFb8cCA/edit?usp=sharing"",""อุดรธานี!J27"")"),0)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IFERROR(__xludf.DUMMYFUNCTION("IMPORTRANGE(""https://docs.google.com/spreadsheets/d/1XL5vhW3sbDhbH9Cz0tuDiY8C3ctxq1tqvaCgkFb8cCA/edit?usp=sharing"",""อุดรธานี!I28"")"),70)</f>
        <v>70</v>
      </c>
      <c r="J88" s="204">
        <f ca="1">IFERROR(__xludf.DUMMYFUNCTION("IMPORTRANGE(""https://docs.google.com/spreadsheets/d/1XL5vhW3sbDhbH9Cz0tuDiY8C3ctxq1tqvaCgkFb8cCA/edit?usp=sharing"",""อุดรธานี!J28"")"),0)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IFERROR(__xludf.DUMMYFUNCTION("IMPORTRANGE(""https://docs.google.com/spreadsheets/d/1XL5vhW3sbDhbH9Cz0tuDiY8C3ctxq1tqvaCgkFb8cCA/edit?usp=sharing"",""อุดรธานี!J29"")"),0)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IFERROR(__xludf.DUMMYFUNCTION("IMPORTRANGE(""https://docs.google.com/spreadsheets/d/1XL5vhW3sbDhbH9Cz0tuDiY8C3ctxq1tqvaCgkFb8cCA/edit?usp=sharing"",""อุดรธานี!J30"")"),0)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IFERROR(__xludf.DUMMYFUNCTION("IMPORTRANGE(""https://docs.google.com/spreadsheets/d/1XL5vhW3sbDhbH9Cz0tuDiY8C3ctxq1tqvaCgkFb8cCA/edit?usp=sharing"",""อุดรธานี!I32"")"),0)</f>
        <v>0</v>
      </c>
      <c r="J92" s="142">
        <f ca="1">IFERROR(__xludf.DUMMYFUNCTION("IMPORTRANGE(""https://docs.google.com/spreadsheets/d/1XL5vhW3sbDhbH9Cz0tuDiY8C3ctxq1tqvaCgkFb8cCA/edit?usp=sharing"",""อุดรธานี!J32"")"),0)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IFERROR(__xludf.DUMMYFUNCTION("IMPORTRANGE(""https://docs.google.com/spreadsheets/d/1XL5vhW3sbDhbH9Cz0tuDiY8C3ctxq1tqvaCgkFb8cCA/edit?usp=sharing"",""อุดรธานี!I33"")"),0)</f>
        <v>0</v>
      </c>
      <c r="J93" s="142">
        <f ca="1">IFERROR(__xludf.DUMMYFUNCTION("IMPORTRANGE(""https://docs.google.com/spreadsheets/d/1XL5vhW3sbDhbH9Cz0tuDiY8C3ctxq1tqvaCgkFb8cCA/edit?usp=sharing"",""อุดรธานี!J33"")"),0)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54" t="s">
        <v>17</v>
      </c>
      <c r="E94" s="555"/>
      <c r="F94" s="555"/>
      <c r="G94" s="55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52" t="s">
        <v>20</v>
      </c>
      <c r="E97" s="553"/>
      <c r="F97" s="55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537">
        <f ca="1">IFERROR(__xludf.DUMMYFUNCTION("IMPORTRANGE(""https://docs.google.com/spreadsheets/d/1Yj_ptqi66GCucihVvJfMjLAmec39IyEx_6qawtMGysU/edit?usp=sharing"",""สบก!AR56"")"),0)</f>
        <v>0</v>
      </c>
      <c r="N98" s="538">
        <f ca="1">IFERROR(__xludf.DUMMYFUNCTION("IMPORTRANGE(""https://docs.google.com/spreadsheets/d/1Yj_ptqi66GCucihVvJfMjLAmec39IyEx_6qawtMGysU/edit?usp=sharing"",""สบก!AS56"")"),0)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537">
        <f ca="1">IFERROR(__xludf.DUMMYFUNCTION("IMPORTRANGE(""https://docs.google.com/spreadsheets/d/1Yj_ptqi66GCucihVvJfMjLAmec39IyEx_6qawtMGysU/edit?usp=sharing"",""สบก!AN56"")"),0)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537">
        <f ca="1">IFERROR(__xludf.DUMMYFUNCTION("IMPORTRANGE(""https://docs.google.com/spreadsheets/d/1Yj_ptqi66GCucihVvJfMjLAmec39IyEx_6qawtMGysU/edit?usp=sharing"",""สบก!AO56"")"),0)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52" t="s">
        <v>23</v>
      </c>
      <c r="E101" s="553"/>
      <c r="F101" s="89"/>
      <c r="G101" s="82" t="s">
        <v>18</v>
      </c>
      <c r="H101" s="172" t="s">
        <v>12</v>
      </c>
      <c r="I101" s="188"/>
      <c r="J101" s="188"/>
      <c r="K101" s="224"/>
      <c r="L101" s="535">
        <v>0</v>
      </c>
      <c r="M101" s="535"/>
      <c r="N101" s="41"/>
      <c r="O101" s="535"/>
      <c r="P101" s="535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533">
        <f ca="1">IFERROR(__xludf.DUMMYFUNCTION("IMPORTRANGE(""https://docs.google.com/spreadsheets/d/1Yj_ptqi66GCucihVvJfMjLAmec39IyEx_6qawtMGysU/edit?usp=sharing"",""สบก!AP56"")"),0)</f>
        <v>0</v>
      </c>
      <c r="M102" s="536"/>
      <c r="N102" s="533">
        <f ca="1">IFERROR(__xludf.DUMMYFUNCTION("IMPORTRANGE(""https://docs.google.com/spreadsheets/d/1Yj_ptqi66GCucihVvJfMjLAmec39IyEx_6qawtMGysU/edit?usp=sharing"",""สบก!AT56"")"),0)</f>
        <v>0</v>
      </c>
      <c r="O102" s="536">
        <f ca="1">IF(L102&gt;0,N102*100/L102,0)</f>
        <v>0</v>
      </c>
      <c r="P102" s="536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IFERROR(__xludf.DUMMYFUNCTION("IMPORTRANGE(""https://docs.google.com/spreadsheets/d/1XL5vhW3sbDhbH9Cz0tuDiY8C3ctxq1tqvaCgkFb8cCA/edit?usp=sharing"",""อุดรธานี!J39"")"),0)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IFERROR(__xludf.DUMMYFUNCTION("IMPORTRANGE(""https://docs.google.com/spreadsheets/d/1XL5vhW3sbDhbH9Cz0tuDiY8C3ctxq1tqvaCgkFb8cCA/edit?usp=sharing"",""อุดรธานี!J40"")"),0)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IFERROR(__xludf.DUMMYFUNCTION("IMPORTRANGE(""https://docs.google.com/spreadsheets/d/1XL5vhW3sbDhbH9Cz0tuDiY8C3ctxq1tqvaCgkFb8cCA/edit?usp=sharing"",""อุดรธานี!J41"")"),0)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IFERROR(__xludf.DUMMYFUNCTION("IMPORTRANGE(""https://docs.google.com/spreadsheets/d/1XL5vhW3sbDhbH9Cz0tuDiY8C3ctxq1tqvaCgkFb8cCA/edit?usp=sharing"",""อุดรธานี!J42"")"),0)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IFERROR(__xludf.DUMMYFUNCTION("IMPORTRANGE(""https://docs.google.com/spreadsheets/d/1XL5vhW3sbDhbH9Cz0tuDiY8C3ctxq1tqvaCgkFb8cCA/edit?usp=sharing"",""อุดรธานี!I43"")"),0)</f>
        <v>0</v>
      </c>
      <c r="J108" s="204">
        <f ca="1">IFERROR(__xludf.DUMMYFUNCTION("IMPORTRANGE(""https://docs.google.com/spreadsheets/d/1XL5vhW3sbDhbH9Cz0tuDiY8C3ctxq1tqvaCgkFb8cCA/edit?usp=sharing"",""อุดรธานี!J43"")"),0)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IFERROR(__xludf.DUMMYFUNCTION("IMPORTRANGE(""https://docs.google.com/spreadsheets/d/1XL5vhW3sbDhbH9Cz0tuDiY8C3ctxq1tqvaCgkFb8cCA/edit?usp=sharing"",""อุดรธานี!I44"")"),0)</f>
        <v>0</v>
      </c>
      <c r="J109" s="204">
        <f ca="1">IFERROR(__xludf.DUMMYFUNCTION("IMPORTRANGE(""https://docs.google.com/spreadsheets/d/1XL5vhW3sbDhbH9Cz0tuDiY8C3ctxq1tqvaCgkFb8cCA/edit?usp=sharing"",""อุดรธานี!J44"")"),0)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IFERROR(__xludf.DUMMYFUNCTION("IMPORTRANGE(""https://docs.google.com/spreadsheets/d/1XL5vhW3sbDhbH9Cz0tuDiY8C3ctxq1tqvaCgkFb8cCA/edit?usp=sharing"",""อุดรธานี!I45"")"),0)</f>
        <v>0</v>
      </c>
      <c r="J110" s="204">
        <f ca="1">IFERROR(__xludf.DUMMYFUNCTION("IMPORTRANGE(""https://docs.google.com/spreadsheets/d/1XL5vhW3sbDhbH9Cz0tuDiY8C3ctxq1tqvaCgkFb8cCA/edit?usp=sharing"",""อุดรธานี!J45"")"),0)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IFERROR(__xludf.DUMMYFUNCTION("IMPORTRANGE(""https://docs.google.com/spreadsheets/d/1XL5vhW3sbDhbH9Cz0tuDiY8C3ctxq1tqvaCgkFb8cCA/edit?usp=sharing"",""อุดรธานี!I46"")"),0)</f>
        <v>0</v>
      </c>
      <c r="J111" s="204">
        <f ca="1">IFERROR(__xludf.DUMMYFUNCTION("IMPORTRANGE(""https://docs.google.com/spreadsheets/d/1XL5vhW3sbDhbH9Cz0tuDiY8C3ctxq1tqvaCgkFb8cCA/edit?usp=sharing"",""อุดรธานี!J46"")"),0)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IFERROR(__xludf.DUMMYFUNCTION("IMPORTRANGE(""https://docs.google.com/spreadsheets/d/1XL5vhW3sbDhbH9Cz0tuDiY8C3ctxq1tqvaCgkFb8cCA/edit?usp=sharing"",""อุดรธานี!I47"")"),0)</f>
        <v>0</v>
      </c>
      <c r="J112" s="204">
        <f ca="1">IFERROR(__xludf.DUMMYFUNCTION("IMPORTRANGE(""https://docs.google.com/spreadsheets/d/1XL5vhW3sbDhbH9Cz0tuDiY8C3ctxq1tqvaCgkFb8cCA/edit?usp=sharing"",""อุดรธานี!J47"")"),0)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IFERROR(__xludf.DUMMYFUNCTION("IMPORTRANGE(""https://docs.google.com/spreadsheets/d/1XL5vhW3sbDhbH9Cz0tuDiY8C3ctxq1tqvaCgkFb8cCA/edit?usp=sharing"",""อุดรธานี!I48"")"),0)</f>
        <v>0</v>
      </c>
      <c r="J113" s="204">
        <f ca="1">IFERROR(__xludf.DUMMYFUNCTION("IMPORTRANGE(""https://docs.google.com/spreadsheets/d/1XL5vhW3sbDhbH9Cz0tuDiY8C3ctxq1tqvaCgkFb8cCA/edit?usp=sharing"",""อุดรธานี!J48"")"),0)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IFERROR(__xludf.DUMMYFUNCTION("IMPORTRANGE(""https://docs.google.com/spreadsheets/d/1XL5vhW3sbDhbH9Cz0tuDiY8C3ctxq1tqvaCgkFb8cCA/edit?usp=sharing"",""อุดรธานี!J49"")"),0)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IFERROR(__xludf.DUMMYFUNCTION("IMPORTRANGE(""https://docs.google.com/spreadsheets/d/1XL5vhW3sbDhbH9Cz0tuDiY8C3ctxq1tqvaCgkFb8cCA/edit?usp=sharing"",""อุดรธานี!J50"")"),0)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IFERROR(__xludf.DUMMYFUNCTION("IMPORTRANGE(""https://docs.google.com/spreadsheets/d/1XL5vhW3sbDhbH9Cz0tuDiY8C3ctxq1tqvaCgkFb8cCA/edit?usp=sharing"",""อุดรธานี!I52"")"),20)</f>
        <v>20</v>
      </c>
      <c r="J117" s="142">
        <f ca="1">IFERROR(__xludf.DUMMYFUNCTION("IMPORTRANGE(""https://docs.google.com/spreadsheets/d/1XL5vhW3sbDhbH9Cz0tuDiY8C3ctxq1tqvaCgkFb8cCA/edit?usp=sharing"",""อุดรธานี!J52"")"),20)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54" t="s">
        <v>17</v>
      </c>
      <c r="E118" s="555"/>
      <c r="F118" s="555"/>
      <c r="G118" s="555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55043</v>
      </c>
      <c r="O118" s="151">
        <f t="shared" ref="O118:O120" ca="1" si="59">IF(L118&gt;0,N118*100/L118,0)</f>
        <v>66.767345948568661</v>
      </c>
      <c r="P118" s="151">
        <f t="shared" ref="P118:P120" ca="1" si="60">IF(M118&gt;0,N118*100/M118,0)</f>
        <v>66.767345948568661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55043</v>
      </c>
      <c r="O120" s="156">
        <f t="shared" ca="1" si="59"/>
        <v>66.767345948568661</v>
      </c>
      <c r="P120" s="156">
        <f t="shared" ca="1" si="60"/>
        <v>66.767345948568661</v>
      </c>
    </row>
    <row r="121" spans="1:16" ht="21.75" customHeight="1" x14ac:dyDescent="0.45">
      <c r="A121" s="158"/>
      <c r="B121" s="159"/>
      <c r="C121" s="159" t="s">
        <v>16</v>
      </c>
      <c r="D121" s="552" t="s">
        <v>20</v>
      </c>
      <c r="E121" s="553"/>
      <c r="F121" s="55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537">
        <f ca="1">IFERROR(__xludf.DUMMYFUNCTION("IMPORTRANGE(""https://docs.google.com/spreadsheets/d/1Yj_ptqi66GCucihVvJfMjLAmec39IyEx_6qawtMGysU/edit?usp=sharing"",""สบก!BA56"")"),82440)</f>
        <v>82440</v>
      </c>
      <c r="N122" s="538">
        <f ca="1">IFERROR(__xludf.DUMMYFUNCTION("IMPORTRANGE(""https://docs.google.com/spreadsheets/d/1Yj_ptqi66GCucihVvJfMjLAmec39IyEx_6qawtMGysU/edit?usp=sharing"",""สบก!BB56"")"),55043)</f>
        <v>55043</v>
      </c>
      <c r="O122" s="169">
        <f ca="1">IF(L122&gt;0,N122*100/L122,0)</f>
        <v>66.767345948568661</v>
      </c>
      <c r="P122" s="169">
        <f ca="1">IF(M122&gt;0,N122*100/M122,0)</f>
        <v>66.767345948568661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537">
        <f ca="1">IFERROR(__xludf.DUMMYFUNCTION("IMPORTRANGE(""https://docs.google.com/spreadsheets/d/1Yj_ptqi66GCucihVvJfMjLAmec39IyEx_6qawtMGysU/edit?usp=sharing"",""สบก!AW56"")"),0)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537">
        <f ca="1">IFERROR(__xludf.DUMMYFUNCTION("IMPORTRANGE(""https://docs.google.com/spreadsheets/d/1Yj_ptqi66GCucihVvJfMjLAmec39IyEx_6qawtMGysU/edit?usp=sharing"",""สบก!AX56"")"),82440)</f>
        <v>82440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52" t="s">
        <v>23</v>
      </c>
      <c r="E125" s="553"/>
      <c r="F125" s="89"/>
      <c r="G125" s="82" t="s">
        <v>18</v>
      </c>
      <c r="H125" s="172" t="s">
        <v>12</v>
      </c>
      <c r="I125" s="188"/>
      <c r="J125" s="188"/>
      <c r="K125" s="224"/>
      <c r="L125" s="535">
        <v>0</v>
      </c>
      <c r="M125" s="535"/>
      <c r="N125" s="41"/>
      <c r="O125" s="535"/>
      <c r="P125" s="535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533">
        <f ca="1">IFERROR(__xludf.DUMMYFUNCTION("IMPORTRANGE(""https://docs.google.com/spreadsheets/d/1Yj_ptqi66GCucihVvJfMjLAmec39IyEx_6qawtMGysU/edit?usp=sharing"",""สบก!AY56"")"),0)</f>
        <v>0</v>
      </c>
      <c r="M126" s="536"/>
      <c r="N126" s="533">
        <f ca="1">IFERROR(__xludf.DUMMYFUNCTION("IMPORTRANGE(""https://docs.google.com/spreadsheets/d/1Yj_ptqi66GCucihVvJfMjLAmec39IyEx_6qawtMGysU/edit?usp=sharing"",""สบก!BC56"")"),0)</f>
        <v>0</v>
      </c>
      <c r="O126" s="536">
        <f ca="1">IF(L126&gt;0,N126*100/L126,0)</f>
        <v>0</v>
      </c>
      <c r="P126" s="536"/>
    </row>
    <row r="127" spans="1:16" ht="21.75" customHeight="1" x14ac:dyDescent="0.35">
      <c r="A127" s="176"/>
      <c r="B127" s="177"/>
      <c r="C127" s="159" t="s">
        <v>16</v>
      </c>
      <c r="D127" s="233" t="s">
        <v>275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IFERROR(__xludf.DUMMYFUNCTION("IMPORTRANGE(""https://docs.google.com/spreadsheets/d/1XL5vhW3sbDhbH9Cz0tuDiY8C3ctxq1tqvaCgkFb8cCA/edit?usp=sharing"",""อุดรธานี!J58"")"),0)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IFERROR(__xludf.DUMMYFUNCTION("IMPORTRANGE(""https://docs.google.com/spreadsheets/d/1XL5vhW3sbDhbH9Cz0tuDiY8C3ctxq1tqvaCgkFb8cCA/edit?usp=sharing"",""อุดรธานี!J59"")"),1)</f>
        <v>1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IFERROR(__xludf.DUMMYFUNCTION("IMPORTRANGE(""https://docs.google.com/spreadsheets/d/1XL5vhW3sbDhbH9Cz0tuDiY8C3ctxq1tqvaCgkFb8cCA/edit?usp=sharing"",""อุดรธานี!J60"")"),1)</f>
        <v>1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IFERROR(__xludf.DUMMYFUNCTION("IMPORTRANGE(""https://docs.google.com/spreadsheets/d/1XL5vhW3sbDhbH9Cz0tuDiY8C3ctxq1tqvaCgkFb8cCA/edit?usp=sharing"",""อุดรธานี!J61"")"),1)</f>
        <v>1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IFERROR(__xludf.DUMMYFUNCTION("IMPORTRANGE(""https://docs.google.com/spreadsheets/d/1XL5vhW3sbDhbH9Cz0tuDiY8C3ctxq1tqvaCgkFb8cCA/edit?usp=sharing"",""อุดรธานี!I62"")"),20)</f>
        <v>20</v>
      </c>
      <c r="J132" s="204">
        <f ca="1">IFERROR(__xludf.DUMMYFUNCTION("IMPORTRANGE(""https://docs.google.com/spreadsheets/d/1XL5vhW3sbDhbH9Cz0tuDiY8C3ctxq1tqvaCgkFb8cCA/edit?usp=sharing"",""อุดรธานี!J62"")"),20)</f>
        <v>20</v>
      </c>
      <c r="K132" s="224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IFERROR(__xludf.DUMMYFUNCTION("IMPORTRANGE(""https://docs.google.com/spreadsheets/d/1XL5vhW3sbDhbH9Cz0tuDiY8C3ctxq1tqvaCgkFb8cCA/edit?usp=sharing"",""อุดรธานี!I63"")"),20)</f>
        <v>20</v>
      </c>
      <c r="J133" s="204">
        <f ca="1">IFERROR(__xludf.DUMMYFUNCTION("IMPORTRANGE(""https://docs.google.com/spreadsheets/d/1XL5vhW3sbDhbH9Cz0tuDiY8C3ctxq1tqvaCgkFb8cCA/edit?usp=sharing"",""อุดรธานี!J63"")"),20)</f>
        <v>20</v>
      </c>
      <c r="K133" s="224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IFERROR(__xludf.DUMMYFUNCTION("IMPORTRANGE(""https://docs.google.com/spreadsheets/d/1XL5vhW3sbDhbH9Cz0tuDiY8C3ctxq1tqvaCgkFb8cCA/edit?usp=sharing"",""อุดรธานี!J64"")"),0)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IFERROR(__xludf.DUMMYFUNCTION("IMPORTRANGE(""https://docs.google.com/spreadsheets/d/1XL5vhW3sbDhbH9Cz0tuDiY8C3ctxq1tqvaCgkFb8cCA/edit?usp=sharing"",""อุดรธานี!J65"")"),0)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IFERROR(__xludf.DUMMYFUNCTION("IMPORTRANGE(""https://docs.google.com/spreadsheets/d/1XL5vhW3sbDhbH9Cz0tuDiY8C3ctxq1tqvaCgkFb8cCA/edit?usp=sharing"",""อุดรธานี!I68"")"),0)</f>
        <v>0</v>
      </c>
      <c r="J138" s="267">
        <f ca="1">IFERROR(__xludf.DUMMYFUNCTION("IMPORTRANGE(""https://docs.google.com/spreadsheets/d/1XL5vhW3sbDhbH9Cz0tuDiY8C3ctxq1tqvaCgkFb8cCA/edit?usp=sharing"",""อุดรธานี!J68"")"),0)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54" t="s">
        <v>17</v>
      </c>
      <c r="E140" s="555"/>
      <c r="F140" s="555"/>
      <c r="G140" s="555"/>
      <c r="H140" s="149" t="s">
        <v>12</v>
      </c>
      <c r="I140" s="162"/>
      <c r="J140" s="162"/>
      <c r="K140" s="163"/>
      <c r="L140" s="152">
        <f t="shared" ref="L140:N140" ca="1" si="64">L141+L142</f>
        <v>102000</v>
      </c>
      <c r="M140" s="152">
        <f t="shared" ca="1" si="64"/>
        <v>100625</v>
      </c>
      <c r="N140" s="152">
        <f t="shared" ca="1" si="64"/>
        <v>75935</v>
      </c>
      <c r="O140" s="151">
        <f t="shared" ref="O140:O142" ca="1" si="65">IF(L140&gt;0,N140*100/L140,0)</f>
        <v>74.446078431372555</v>
      </c>
      <c r="P140" s="151">
        <f t="shared" ref="P140:P142" ca="1" si="66">IF(M140&gt;0,N140*100/M140,0)</f>
        <v>75.463354037267081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102000</v>
      </c>
      <c r="M142" s="157">
        <f t="shared" ca="1" si="68"/>
        <v>100625</v>
      </c>
      <c r="N142" s="157">
        <f t="shared" ca="1" si="68"/>
        <v>75935</v>
      </c>
      <c r="O142" s="156">
        <f t="shared" ca="1" si="65"/>
        <v>74.446078431372555</v>
      </c>
      <c r="P142" s="156">
        <f t="shared" ca="1" si="66"/>
        <v>75.463354037267081</v>
      </c>
    </row>
    <row r="143" spans="1:16" ht="21.75" customHeight="1" x14ac:dyDescent="0.45">
      <c r="A143" s="158"/>
      <c r="B143" s="159"/>
      <c r="C143" s="159" t="s">
        <v>16</v>
      </c>
      <c r="D143" s="552" t="s">
        <v>20</v>
      </c>
      <c r="E143" s="553"/>
      <c r="F143" s="55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102000</v>
      </c>
      <c r="M144" s="537">
        <f ca="1">IFERROR(__xludf.DUMMYFUNCTION("IMPORTRANGE(""https://docs.google.com/spreadsheets/d/1Yj_ptqi66GCucihVvJfMjLAmec39IyEx_6qawtMGysU/edit?usp=sharing"",""สบก!BJ56"")"),100625)</f>
        <v>100625</v>
      </c>
      <c r="N144" s="538">
        <f ca="1">IFERROR(__xludf.DUMMYFUNCTION("IMPORTRANGE(""https://docs.google.com/spreadsheets/d/1Yj_ptqi66GCucihVvJfMjLAmec39IyEx_6qawtMGysU/edit?usp=sharing"",""สบก!BK56"")"),75935)</f>
        <v>75935</v>
      </c>
      <c r="O144" s="169">
        <f ca="1">IF(L144&gt;0,N144*100/L144,0)</f>
        <v>74.446078431372555</v>
      </c>
      <c r="P144" s="169">
        <f ca="1">IF(M144&gt;0,N144*100/M144,0)</f>
        <v>75.463354037267081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537">
        <f ca="1">IFERROR(__xludf.DUMMYFUNCTION("IMPORTRANGE(""https://docs.google.com/spreadsheets/d/1Yj_ptqi66GCucihVvJfMjLAmec39IyEx_6qawtMGysU/edit?usp=sharing"",""สบก!BF56"")"),0)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537">
        <f ca="1">IFERROR(__xludf.DUMMYFUNCTION("IMPORTRANGE(""https://docs.google.com/spreadsheets/d/1Yj_ptqi66GCucihVvJfMjLAmec39IyEx_6qawtMGysU/edit?usp=sharing"",""สบก!BG56"")"),102000)</f>
        <v>102000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52" t="s">
        <v>23</v>
      </c>
      <c r="E147" s="553"/>
      <c r="F147" s="89"/>
      <c r="G147" s="82" t="s">
        <v>18</v>
      </c>
      <c r="H147" s="172" t="s">
        <v>12</v>
      </c>
      <c r="I147" s="188"/>
      <c r="J147" s="188"/>
      <c r="K147" s="224"/>
      <c r="L147" s="535">
        <v>0</v>
      </c>
      <c r="M147" s="535"/>
      <c r="N147" s="41"/>
      <c r="O147" s="535"/>
      <c r="P147" s="535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533">
        <f ca="1">IFERROR(__xludf.DUMMYFUNCTION("IMPORTRANGE(""https://docs.google.com/spreadsheets/d/1Yj_ptqi66GCucihVvJfMjLAmec39IyEx_6qawtMGysU/edit?usp=sharing"",""สบก!BH56"")"),0)</f>
        <v>0</v>
      </c>
      <c r="M148" s="536"/>
      <c r="N148" s="533">
        <f ca="1">IFERROR(__xludf.DUMMYFUNCTION("IMPORTRANGE(""https://docs.google.com/spreadsheets/d/1Yj_ptqi66GCucihVvJfMjLAmec39IyEx_6qawtMGysU/edit?usp=sharing"",""สบก!BL56"")"),0)</f>
        <v>0</v>
      </c>
      <c r="O148" s="536">
        <f ca="1">IF(L148&gt;0,N148*100/L148,0)</f>
        <v>0</v>
      </c>
      <c r="P148" s="536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IFERROR(__xludf.DUMMYFUNCTION("IMPORTRANGE(""https://docs.google.com/spreadsheets/d/1XL5vhW3sbDhbH9Cz0tuDiY8C3ctxq1tqvaCgkFb8cCA/edit?usp=sharing"",""อุดรธานี!I74"")"),4)</f>
        <v>4</v>
      </c>
      <c r="J149" s="275">
        <f ca="1">IFERROR(__xludf.DUMMYFUNCTION("IMPORTRANGE(""https://docs.google.com/spreadsheets/d/1XL5vhW3sbDhbH9Cz0tuDiY8C3ctxq1tqvaCgkFb8cCA/edit?usp=sharing"",""อุดรธานี!J74"")"),2)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IFERROR(__xludf.DUMMYFUNCTION("IMPORTRANGE(""https://docs.google.com/spreadsheets/d/1XL5vhW3sbDhbH9Cz0tuDiY8C3ctxq1tqvaCgkFb8cCA/edit?usp=sharing"",""อุดรธานี!J79"")"),0)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IFERROR(__xludf.DUMMYFUNCTION("IMPORTRANGE(""https://docs.google.com/spreadsheets/d/1XL5vhW3sbDhbH9Cz0tuDiY8C3ctxq1tqvaCgkFb8cCA/edit?usp=sharing"",""อุดรธานี!J80"")"),1)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IFERROR(__xludf.DUMMYFUNCTION("IMPORTRANGE(""https://docs.google.com/spreadsheets/d/1XL5vhW3sbDhbH9Cz0tuDiY8C3ctxq1tqvaCgkFb8cCA/edit?usp=sharing"",""อุดรธานี!J81"")"),0)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IFERROR(__xludf.DUMMYFUNCTION("IMPORTRANGE(""https://docs.google.com/spreadsheets/d/1XL5vhW3sbDhbH9Cz0tuDiY8C3ctxq1tqvaCgkFb8cCA/edit?usp=sharing"",""อุดรธานี!J82"")"),0)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IFERROR(__xludf.DUMMYFUNCTION("IMPORTRANGE(""https://docs.google.com/spreadsheets/d/1XL5vhW3sbDhbH9Cz0tuDiY8C3ctxq1tqvaCgkFb8cCA/edit?usp=sharing"",""อุดรธานี!I83"")"),4)</f>
        <v>4</v>
      </c>
      <c r="J158" s="189">
        <f ca="1">IFERROR(__xludf.DUMMYFUNCTION("IMPORTRANGE(""https://docs.google.com/spreadsheets/d/1XL5vhW3sbDhbH9Cz0tuDiY8C3ctxq1tqvaCgkFb8cCA/edit?usp=sharing"",""อุดรธานี!J83"")"),2)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IFERROR(__xludf.DUMMYFUNCTION("IMPORTRANGE(""https://docs.google.com/spreadsheets/d/1XL5vhW3sbDhbH9Cz0tuDiY8C3ctxq1tqvaCgkFb8cCA/edit?usp=sharing"",""อุดรธานี!J84"")"),0)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IFERROR(__xludf.DUMMYFUNCTION("IMPORTRANGE(""https://docs.google.com/spreadsheets/d/1XL5vhW3sbDhbH9Cz0tuDiY8C3ctxq1tqvaCgkFb8cCA/edit?usp=sharing"",""อุดรธานี!J85"")"),0)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IFERROR(__xludf.DUMMYFUNCTION("IMPORTRANGE(""https://docs.google.com/spreadsheets/d/1XL5vhW3sbDhbH9Cz0tuDiY8C3ctxq1tqvaCgkFb8cCA/edit?usp=sharing"",""อุดรธานี!J86"")"),0)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IFERROR(__xludf.DUMMYFUNCTION("IMPORTRANGE(""https://docs.google.com/spreadsheets/d/1XL5vhW3sbDhbH9Cz0tuDiY8C3ctxq1tqvaCgkFb8cCA/edit?usp=sharing"",""อุดรธานี!J87"")"),0)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IFERROR(__xludf.DUMMYFUNCTION("IMPORTRANGE(""https://docs.google.com/spreadsheets/d/1XL5vhW3sbDhbH9Cz0tuDiY8C3ctxq1tqvaCgkFb8cCA/edit?usp=sharing"",""อุดรธานี!J88"")"),0)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IFERROR(__xludf.DUMMYFUNCTION("IMPORTRANGE(""https://docs.google.com/spreadsheets/d/1XL5vhW3sbDhbH9Cz0tuDiY8C3ctxq1tqvaCgkFb8cCA/edit?usp=sharing"",""อุดรธานี!I89"")"),3)</f>
        <v>3</v>
      </c>
      <c r="J164" s="284">
        <f ca="1">IFERROR(__xludf.DUMMYFUNCTION("IMPORTRANGE(""https://docs.google.com/spreadsheets/d/1XL5vhW3sbDhbH9Cz0tuDiY8C3ctxq1tqvaCgkFb8cCA/edit?usp=sharing"",""อุดรธานี!J89"")"),3)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IFERROR(__xludf.DUMMYFUNCTION("IMPORTRANGE(""https://docs.google.com/spreadsheets/d/1XL5vhW3sbDhbH9Cz0tuDiY8C3ctxq1tqvaCgkFb8cCA/edit?usp=sharing"",""อุดรธานี!J94"")"),0)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IFERROR(__xludf.DUMMYFUNCTION("IMPORTRANGE(""https://docs.google.com/spreadsheets/d/1XL5vhW3sbDhbH9Cz0tuDiY8C3ctxq1tqvaCgkFb8cCA/edit?usp=sharing"",""อุดรธานี!J95"")"),1)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IFERROR(__xludf.DUMMYFUNCTION("IMPORTRANGE(""https://docs.google.com/spreadsheets/d/1XL5vhW3sbDhbH9Cz0tuDiY8C3ctxq1tqvaCgkFb8cCA/edit?usp=sharing"",""อุดรธานี!J96"")"),1)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IFERROR(__xludf.DUMMYFUNCTION("IMPORTRANGE(""https://docs.google.com/spreadsheets/d/1XL5vhW3sbDhbH9Cz0tuDiY8C3ctxq1tqvaCgkFb8cCA/edit?usp=sharing"",""อุดรธานี!J97"")"),1)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IFERROR(__xludf.DUMMYFUNCTION("IMPORTRANGE(""https://docs.google.com/spreadsheets/d/1XL5vhW3sbDhbH9Cz0tuDiY8C3ctxq1tqvaCgkFb8cCA/edit?usp=sharing"",""อุดรธานี!I98"")"),3)</f>
        <v>3</v>
      </c>
      <c r="J173" s="189">
        <f ca="1">IFERROR(__xludf.DUMMYFUNCTION("IMPORTRANGE(""https://docs.google.com/spreadsheets/d/1XL5vhW3sbDhbH9Cz0tuDiY8C3ctxq1tqvaCgkFb8cCA/edit?usp=sharing"",""อุดรธานี!J98"")"),3)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IFERROR(__xludf.DUMMYFUNCTION("IMPORTRANGE(""https://docs.google.com/spreadsheets/d/1XL5vhW3sbDhbH9Cz0tuDiY8C3ctxq1tqvaCgkFb8cCA/edit?usp=sharing"",""อุดรธานี!J99"")"),0)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IFERROR(__xludf.DUMMYFUNCTION("IMPORTRANGE(""https://docs.google.com/spreadsheets/d/1XL5vhW3sbDhbH9Cz0tuDiY8C3ctxq1tqvaCgkFb8cCA/edit?usp=sharing"",""อุดรธานี!J100"")"),0)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IFERROR(__xludf.DUMMYFUNCTION("IMPORTRANGE(""https://docs.google.com/spreadsheets/d/1XL5vhW3sbDhbH9Cz0tuDiY8C3ctxq1tqvaCgkFb8cCA/edit?usp=sharing"",""อุดรธานี!I101"")"),3)</f>
        <v>3</v>
      </c>
      <c r="J176" s="284">
        <f ca="1">IFERROR(__xludf.DUMMYFUNCTION("IMPORTRANGE(""https://docs.google.com/spreadsheets/d/1XL5vhW3sbDhbH9Cz0tuDiY8C3ctxq1tqvaCgkFb8cCA/edit?usp=sharing"",""อุดรธานี!J101"")"),3)</f>
        <v>3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IFERROR(__xludf.DUMMYFUNCTION("IMPORTRANGE(""https://docs.google.com/spreadsheets/d/1XL5vhW3sbDhbH9Cz0tuDiY8C3ctxq1tqvaCgkFb8cCA/edit?usp=sharing"",""อุดรธานี!J106"")"),0)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IFERROR(__xludf.DUMMYFUNCTION("IMPORTRANGE(""https://docs.google.com/spreadsheets/d/1XL5vhW3sbDhbH9Cz0tuDiY8C3ctxq1tqvaCgkFb8cCA/edit?usp=sharing"",""อุดรธานี!J107"")"),1)</f>
        <v>1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IFERROR(__xludf.DUMMYFUNCTION("IMPORTRANGE(""https://docs.google.com/spreadsheets/d/1XL5vhW3sbDhbH9Cz0tuDiY8C3ctxq1tqvaCgkFb8cCA/edit?usp=sharing"",""อุดรธานี!J108"")"),1)</f>
        <v>1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IFERROR(__xludf.DUMMYFUNCTION("IMPORTRANGE(""https://docs.google.com/spreadsheets/d/1XL5vhW3sbDhbH9Cz0tuDiY8C3ctxq1tqvaCgkFb8cCA/edit?usp=sharing"",""อุดรธานี!J109"")"),0)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IFERROR(__xludf.DUMMYFUNCTION("IMPORTRANGE(""https://docs.google.com/spreadsheets/d/1XL5vhW3sbDhbH9Cz0tuDiY8C3ctxq1tqvaCgkFb8cCA/edit?usp=sharing"",""อุดรธานี!I110"")"),3)</f>
        <v>3</v>
      </c>
      <c r="J185" s="204">
        <f ca="1">IFERROR(__xludf.DUMMYFUNCTION("IMPORTRANGE(""https://docs.google.com/spreadsheets/d/1XL5vhW3sbDhbH9Cz0tuDiY8C3ctxq1tqvaCgkFb8cCA/edit?usp=sharing"",""อุดรธานี!J110"")"),0)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IFERROR(__xludf.DUMMYFUNCTION("IMPORTRANGE(""https://docs.google.com/spreadsheets/d/1XL5vhW3sbDhbH9Cz0tuDiY8C3ctxq1tqvaCgkFb8cCA/edit?usp=sharing"",""อุดรธานี!I111"")"),3)</f>
        <v>3</v>
      </c>
      <c r="J186" s="204">
        <f ca="1">IFERROR(__xludf.DUMMYFUNCTION("IMPORTRANGE(""https://docs.google.com/spreadsheets/d/1XL5vhW3sbDhbH9Cz0tuDiY8C3ctxq1tqvaCgkFb8cCA/edit?usp=sharing"",""อุดรธานี!J111"")"),3)</f>
        <v>3</v>
      </c>
      <c r="K186" s="224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IFERROR(__xludf.DUMMYFUNCTION("IMPORTRANGE(""https://docs.google.com/spreadsheets/d/1XL5vhW3sbDhbH9Cz0tuDiY8C3ctxq1tqvaCgkFb8cCA/edit?usp=sharing"",""อุดรธานี!J112"")"),0)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IFERROR(__xludf.DUMMYFUNCTION("IMPORTRANGE(""https://docs.google.com/spreadsheets/d/1XL5vhW3sbDhbH9Cz0tuDiY8C3ctxq1tqvaCgkFb8cCA/edit?usp=sharing"",""อุดรธานี!J113"")"),0)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IFERROR(__xludf.DUMMYFUNCTION("IMPORTRANGE(""https://docs.google.com/spreadsheets/d/1XL5vhW3sbDhbH9Cz0tuDiY8C3ctxq1tqvaCgkFb8cCA/edit?usp=sharing"",""อุดรธานี!I114"")"),10000)</f>
        <v>10000</v>
      </c>
      <c r="J189" s="284">
        <f ca="1">IFERROR(__xludf.DUMMYFUNCTION("IMPORTRANGE(""https://docs.google.com/spreadsheets/d/1XL5vhW3sbDhbH9Cz0tuDiY8C3ctxq1tqvaCgkFb8cCA/edit?usp=sharing"",""อุดรธานี!J114"")"),0)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IFERROR(__xludf.DUMMYFUNCTION("IMPORTRANGE(""https://docs.google.com/spreadsheets/d/1XL5vhW3sbDhbH9Cz0tuDiY8C3ctxq1tqvaCgkFb8cCA/edit?usp=sharing"",""อุดรธานี!J119"")"),1)</f>
        <v>1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IFERROR(__xludf.DUMMYFUNCTION("IMPORTRANGE(""https://docs.google.com/spreadsheets/d/1XL5vhW3sbDhbH9Cz0tuDiY8C3ctxq1tqvaCgkFb8cCA/edit?usp=sharing"",""อุดรธานี!J120"")"),0)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IFERROR(__xludf.DUMMYFUNCTION("IMPORTRANGE(""https://docs.google.com/spreadsheets/d/1XL5vhW3sbDhbH9Cz0tuDiY8C3ctxq1tqvaCgkFb8cCA/edit?usp=sharing"",""อุดรธานี!J121"")"),0)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IFERROR(__xludf.DUMMYFUNCTION("IMPORTRANGE(""https://docs.google.com/spreadsheets/d/1XL5vhW3sbDhbH9Cz0tuDiY8C3ctxq1tqvaCgkFb8cCA/edit?usp=sharing"",""อุดรธานี!J122"")"),0)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IFERROR(__xludf.DUMMYFUNCTION("IMPORTRANGE(""https://docs.google.com/spreadsheets/d/1XL5vhW3sbDhbH9Cz0tuDiY8C3ctxq1tqvaCgkFb8cCA/edit?usp=sharing"",""อุดรธานี!I124"")"),10000)</f>
        <v>10000</v>
      </c>
      <c r="J199" s="189">
        <f ca="1">IFERROR(__xludf.DUMMYFUNCTION("IMPORTRANGE(""https://docs.google.com/spreadsheets/d/1XL5vhW3sbDhbH9Cz0tuDiY8C3ctxq1tqvaCgkFb8cCA/edit?usp=sharing"",""อุดรธานี!J124"")"),0)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IFERROR(__xludf.DUMMYFUNCTION("IMPORTRANGE(""https://docs.google.com/spreadsheets/d/1XL5vhW3sbDhbH9Cz0tuDiY8C3ctxq1tqvaCgkFb8cCA/edit?usp=sharing"",""อุดรธานี!I125"")"),10000)</f>
        <v>10000</v>
      </c>
      <c r="J200" s="189">
        <f ca="1">IFERROR(__xludf.DUMMYFUNCTION("IMPORTRANGE(""https://docs.google.com/spreadsheets/d/1XL5vhW3sbDhbH9Cz0tuDiY8C3ctxq1tqvaCgkFb8cCA/edit?usp=sharing"",""อุดรธานี!J125"")"),0)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IFERROR(__xludf.DUMMYFUNCTION("IMPORTRANGE(""https://docs.google.com/spreadsheets/d/1XL5vhW3sbDhbH9Cz0tuDiY8C3ctxq1tqvaCgkFb8cCA/edit?usp=sharing"",""อุดรธานี!I126"")"),0)</f>
        <v>0</v>
      </c>
      <c r="J201" s="189">
        <f ca="1">IFERROR(__xludf.DUMMYFUNCTION("IMPORTRANGE(""https://docs.google.com/spreadsheets/d/1XL5vhW3sbDhbH9Cz0tuDiY8C3ctxq1tqvaCgkFb8cCA/edit?usp=sharing"",""อุดรธานี!J126"")"),0)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IFERROR(__xludf.DUMMYFUNCTION("IMPORTRANGE(""https://docs.google.com/spreadsheets/d/1XL5vhW3sbDhbH9Cz0tuDiY8C3ctxq1tqvaCgkFb8cCA/edit?usp=sharing"",""อุดรธานี!J127"")"),0)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IFERROR(__xludf.DUMMYFUNCTION("IMPORTRANGE(""https://docs.google.com/spreadsheets/d/1XL5vhW3sbDhbH9Cz0tuDiY8C3ctxq1tqvaCgkFb8cCA/edit?usp=sharing"",""อุดรธานี!J128"")"),0)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IFERROR(__xludf.DUMMYFUNCTION("IMPORTRANGE(""https://docs.google.com/spreadsheets/d/1XL5vhW3sbDhbH9Cz0tuDiY8C3ctxq1tqvaCgkFb8cCA/edit?usp=sharing"",""อุดรธานี!I129"")"),0)</f>
        <v>0</v>
      </c>
      <c r="J204" s="284">
        <f ca="1">IFERROR(__xludf.DUMMYFUNCTION("IMPORTRANGE(""https://docs.google.com/spreadsheets/d/1XL5vhW3sbDhbH9Cz0tuDiY8C3ctxq1tqvaCgkFb8cCA/edit?usp=sharing"",""อุดรธานี!J129"")"),0)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IFERROR(__xludf.DUMMYFUNCTION("IMPORTRANGE(""https://docs.google.com/spreadsheets/d/1XL5vhW3sbDhbH9Cz0tuDiY8C3ctxq1tqvaCgkFb8cCA/edit?usp=sharing"",""อุดรธานี!J134"")"),0)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IFERROR(__xludf.DUMMYFUNCTION("IMPORTRANGE(""https://docs.google.com/spreadsheets/d/1XL5vhW3sbDhbH9Cz0tuDiY8C3ctxq1tqvaCgkFb8cCA/edit?usp=sharing"",""อุดรธานี!J135"")"),0)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IFERROR(__xludf.DUMMYFUNCTION("IMPORTRANGE(""https://docs.google.com/spreadsheets/d/1XL5vhW3sbDhbH9Cz0tuDiY8C3ctxq1tqvaCgkFb8cCA/edit?usp=sharing"",""อุดรธานี!J136"")"),0)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IFERROR(__xludf.DUMMYFUNCTION("IMPORTRANGE(""https://docs.google.com/spreadsheets/d/1XL5vhW3sbDhbH9Cz0tuDiY8C3ctxq1tqvaCgkFb8cCA/edit?usp=sharing"",""อุดรธานี!J137"")"),0)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IFERROR(__xludf.DUMMYFUNCTION("IMPORTRANGE(""https://docs.google.com/spreadsheets/d/1XL5vhW3sbDhbH9Cz0tuDiY8C3ctxq1tqvaCgkFb8cCA/edit?usp=sharing"",""อุดรธานี!I138"")"),0)</f>
        <v>0</v>
      </c>
      <c r="J213" s="204">
        <f ca="1">IFERROR(__xludf.DUMMYFUNCTION("IMPORTRANGE(""https://docs.google.com/spreadsheets/d/1XL5vhW3sbDhbH9Cz0tuDiY8C3ctxq1tqvaCgkFb8cCA/edit?usp=sharing"",""อุดรธานี!J138"")"),0)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IFERROR(__xludf.DUMMYFUNCTION("IMPORTRANGE(""https://docs.google.com/spreadsheets/d/1XL5vhW3sbDhbH9Cz0tuDiY8C3ctxq1tqvaCgkFb8cCA/edit?usp=sharing"",""อุดรธานี!I140"")"),0)</f>
        <v>0</v>
      </c>
      <c r="J215" s="204">
        <f ca="1">IFERROR(__xludf.DUMMYFUNCTION("IMPORTRANGE(""https://docs.google.com/spreadsheets/d/1XL5vhW3sbDhbH9Cz0tuDiY8C3ctxq1tqvaCgkFb8cCA/edit?usp=sharing"",""อุดรธานี!J140"")"),0)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IFERROR(__xludf.DUMMYFUNCTION("IMPORTRANGE(""https://docs.google.com/spreadsheets/d/1XL5vhW3sbDhbH9Cz0tuDiY8C3ctxq1tqvaCgkFb8cCA/edit?usp=sharing"",""อุดรธานี!I141"")"),0)</f>
        <v>0</v>
      </c>
      <c r="J216" s="204">
        <f ca="1">IFERROR(__xludf.DUMMYFUNCTION("IMPORTRANGE(""https://docs.google.com/spreadsheets/d/1XL5vhW3sbDhbH9Cz0tuDiY8C3ctxq1tqvaCgkFb8cCA/edit?usp=sharing"",""อุดรธานี!J141"")"),0)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IFERROR(__xludf.DUMMYFUNCTION("IMPORTRANGE(""https://docs.google.com/spreadsheets/d/1XL5vhW3sbDhbH9Cz0tuDiY8C3ctxq1tqvaCgkFb8cCA/edit?usp=sharing"",""อุดรธานี!J142"")"),0)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IFERROR(__xludf.DUMMYFUNCTION("IMPORTRANGE(""https://docs.google.com/spreadsheets/d/1XL5vhW3sbDhbH9Cz0tuDiY8C3ctxq1tqvaCgkFb8cCA/edit?usp=sharing"",""อุดรธานี!J143"")"),0)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IFERROR(__xludf.DUMMYFUNCTION("IMPORTRANGE(""https://docs.google.com/spreadsheets/d/1XL5vhW3sbDhbH9Cz0tuDiY8C3ctxq1tqvaCgkFb8cCA/edit?usp=sharing"",""อุดรธานี!I144"")"),14)</f>
        <v>14</v>
      </c>
      <c r="J219" s="267">
        <f ca="1">IFERROR(__xludf.DUMMYFUNCTION("IMPORTRANGE(""https://docs.google.com/spreadsheets/d/1XL5vhW3sbDhbH9Cz0tuDiY8C3ctxq1tqvaCgkFb8cCA/edit?usp=sharing"",""อุดรธานี!J144"")"),14)</f>
        <v>14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54" t="s">
        <v>17</v>
      </c>
      <c r="E220" s="555"/>
      <c r="F220" s="555"/>
      <c r="G220" s="555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52" t="s">
        <v>20</v>
      </c>
      <c r="E223" s="553"/>
      <c r="F223" s="55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537">
        <f ca="1">IFERROR(__xludf.DUMMYFUNCTION("IMPORTRANGE(""https://docs.google.com/spreadsheets/d/1Yj_ptqi66GCucihVvJfMjLAmec39IyEx_6qawtMGysU/edit?usp=sharing"",""สบก!BS56"")"),20210)</f>
        <v>20210</v>
      </c>
      <c r="N224" s="538">
        <f ca="1">IFERROR(__xludf.DUMMYFUNCTION("IMPORTRANGE(""https://docs.google.com/spreadsheets/d/1Yj_ptqi66GCucihVvJfMjLAmec39IyEx_6qawtMGysU/edit?usp=sharing"",""สบก!BT56"")"),20210)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537">
        <f ca="1">IFERROR(__xludf.DUMMYFUNCTION("IMPORTRANGE(""https://docs.google.com/spreadsheets/d/1Yj_ptqi66GCucihVvJfMjLAmec39IyEx_6qawtMGysU/edit?usp=sharing"",""สบก!BO56"")"),0)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537">
        <f ca="1">IFERROR(__xludf.DUMMYFUNCTION("IMPORTRANGE(""https://docs.google.com/spreadsheets/d/1Yj_ptqi66GCucihVvJfMjLAmec39IyEx_6qawtMGysU/edit?usp=sharing"",""สบก!BP56"")"),20210)</f>
        <v>20210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52" t="s">
        <v>23</v>
      </c>
      <c r="E227" s="553"/>
      <c r="F227" s="89"/>
      <c r="G227" s="82" t="s">
        <v>18</v>
      </c>
      <c r="H227" s="172" t="s">
        <v>12</v>
      </c>
      <c r="I227" s="201"/>
      <c r="J227" s="201"/>
      <c r="K227" s="290"/>
      <c r="L227" s="535">
        <v>0</v>
      </c>
      <c r="M227" s="535"/>
      <c r="N227" s="41"/>
      <c r="O227" s="535"/>
      <c r="P227" s="535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533">
        <f ca="1">IFERROR(__xludf.DUMMYFUNCTION("IMPORTRANGE(""https://docs.google.com/spreadsheets/d/1Yj_ptqi66GCucihVvJfMjLAmec39IyEx_6qawtMGysU/edit?usp=sharing"",""สบก!BQ56"")"),0)</f>
        <v>0</v>
      </c>
      <c r="M228" s="536"/>
      <c r="N228" s="533">
        <f ca="1">IFERROR(__xludf.DUMMYFUNCTION("IMPORTRANGE(""https://docs.google.com/spreadsheets/d/1Yj_ptqi66GCucihVvJfMjLAmec39IyEx_6qawtMGysU/edit?usp=sharing"",""สบก!BU56"")"),0)</f>
        <v>0</v>
      </c>
      <c r="O228" s="536">
        <f ca="1">IF(L228&gt;0,N228*100/L228,0)</f>
        <v>0</v>
      </c>
      <c r="P228" s="536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IFERROR(__xludf.DUMMYFUNCTION("IMPORTRANGE(""https://docs.google.com/spreadsheets/d/1XL5vhW3sbDhbH9Cz0tuDiY8C3ctxq1tqvaCgkFb8cCA/edit?usp=sharing"",""อุดรธานี!I149"")"),14)</f>
        <v>14</v>
      </c>
      <c r="J229" s="267">
        <f ca="1">IFERROR(__xludf.DUMMYFUNCTION("IMPORTRANGE(""https://docs.google.com/spreadsheets/d/1XL5vhW3sbDhbH9Cz0tuDiY8C3ctxq1tqvaCgkFb8cCA/edit?usp=sharing"",""อุดรธานี!J149"")"),14)</f>
        <v>14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IFERROR(__xludf.DUMMYFUNCTION("IMPORTRANGE(""https://docs.google.com/spreadsheets/d/1XL5vhW3sbDhbH9Cz0tuDiY8C3ctxq1tqvaCgkFb8cCA/edit?usp=sharing"",""อุดรธานี!J151"")"),0)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IFERROR(__xludf.DUMMYFUNCTION("IMPORTRANGE(""https://docs.google.com/spreadsheets/d/1XL5vhW3sbDhbH9Cz0tuDiY8C3ctxq1tqvaCgkFb8cCA/edit?usp=sharing"",""อุดรธานี!J152"")"),1)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IFERROR(__xludf.DUMMYFUNCTION("IMPORTRANGE(""https://docs.google.com/spreadsheets/d/1XL5vhW3sbDhbH9Cz0tuDiY8C3ctxq1tqvaCgkFb8cCA/edit?usp=sharing"",""อุดรธานี!J153"")"),1)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IFERROR(__xludf.DUMMYFUNCTION("IMPORTRANGE(""https://docs.google.com/spreadsheets/d/1XL5vhW3sbDhbH9Cz0tuDiY8C3ctxq1tqvaCgkFb8cCA/edit?usp=sharing"",""อุดรธานี!J154"")"),1)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IFERROR(__xludf.DUMMYFUNCTION("IMPORTRANGE(""https://docs.google.com/spreadsheets/d/1XL5vhW3sbDhbH9Cz0tuDiY8C3ctxq1tqvaCgkFb8cCA/edit?usp=sharing"",""อุดรธานี!I155"")"),14)</f>
        <v>14</v>
      </c>
      <c r="J235" s="189">
        <f ca="1">IFERROR(__xludf.DUMMYFUNCTION("IMPORTRANGE(""https://docs.google.com/spreadsheets/d/1XL5vhW3sbDhbH9Cz0tuDiY8C3ctxq1tqvaCgkFb8cCA/edit?usp=sharing"",""อุดรธานี!J155"")"),14)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IFERROR(__xludf.DUMMYFUNCTION("IMPORTRANGE(""https://docs.google.com/spreadsheets/d/1XL5vhW3sbDhbH9Cz0tuDiY8C3ctxq1tqvaCgkFb8cCA/edit?usp=sharing"",""อุดรธานี!J156"")"),0)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IFERROR(__xludf.DUMMYFUNCTION("IMPORTRANGE(""https://docs.google.com/spreadsheets/d/1XL5vhW3sbDhbH9Cz0tuDiY8C3ctxq1tqvaCgkFb8cCA/edit?usp=sharing"",""อุดรธานี!J157"")"),0)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IFERROR(__xludf.DUMMYFUNCTION("IMPORTRANGE(""https://docs.google.com/spreadsheets/d/1XL5vhW3sbDhbH9Cz0tuDiY8C3ctxq1tqvaCgkFb8cCA/edit?usp=sharing"",""อุดรธานี!I158"")"),0)</f>
        <v>0</v>
      </c>
      <c r="J238" s="267">
        <f ca="1">IFERROR(__xludf.DUMMYFUNCTION("IMPORTRANGE(""https://docs.google.com/spreadsheets/d/1XL5vhW3sbDhbH9Cz0tuDiY8C3ctxq1tqvaCgkFb8cCA/edit?usp=sharing"",""อุดรธานี!J158"")"),0)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IFERROR(__xludf.DUMMYFUNCTION("IMPORTRANGE(""https://docs.google.com/spreadsheets/d/1XL5vhW3sbDhbH9Cz0tuDiY8C3ctxq1tqvaCgkFb8cCA/edit?usp=sharing"",""อุดรธานี!J159"")"),"")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IFERROR(__xludf.DUMMYFUNCTION("IMPORTRANGE(""https://docs.google.com/spreadsheets/d/1XL5vhW3sbDhbH9Cz0tuDiY8C3ctxq1tqvaCgkFb8cCA/edit?usp=sharing"",""อุดรธานี!J161"")"),0)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IFERROR(__xludf.DUMMYFUNCTION("IMPORTRANGE(""https://docs.google.com/spreadsheets/d/1XL5vhW3sbDhbH9Cz0tuDiY8C3ctxq1tqvaCgkFb8cCA/edit?usp=sharing"",""อุดรธานี!J162"")"),0)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IFERROR(__xludf.DUMMYFUNCTION("IMPORTRANGE(""https://docs.google.com/spreadsheets/d/1XL5vhW3sbDhbH9Cz0tuDiY8C3ctxq1tqvaCgkFb8cCA/edit?usp=sharing"",""อุดรธานี!J163"")"),0)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IFERROR(__xludf.DUMMYFUNCTION("IMPORTRANGE(""https://docs.google.com/spreadsheets/d/1XL5vhW3sbDhbH9Cz0tuDiY8C3ctxq1tqvaCgkFb8cCA/edit?usp=sharing"",""อุดรธานี!I164"")"),0)</f>
        <v>0</v>
      </c>
      <c r="J244" s="188">
        <f ca="1">IFERROR(__xludf.DUMMYFUNCTION("IMPORTRANGE(""https://docs.google.com/spreadsheets/d/1XL5vhW3sbDhbH9Cz0tuDiY8C3ctxq1tqvaCgkFb8cCA/edit?usp=sharing"",""อุดรธานี!J164"")"),0)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IFERROR(__xludf.DUMMYFUNCTION("IMPORTRANGE(""https://docs.google.com/spreadsheets/d/1XL5vhW3sbDhbH9Cz0tuDiY8C3ctxq1tqvaCgkFb8cCA/edit?usp=sharing"",""อุดรธานี!J165"")"),0)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IFERROR(__xludf.DUMMYFUNCTION("IMPORTRANGE(""https://docs.google.com/spreadsheets/d/1XL5vhW3sbDhbH9Cz0tuDiY8C3ctxq1tqvaCgkFb8cCA/edit?usp=sharing"",""อุดรธานี!J166"")"),0)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IFERROR(__xludf.DUMMYFUNCTION("IMPORTRANGE(""https://docs.google.com/spreadsheets/d/1XL5vhW3sbDhbH9Cz0tuDiY8C3ctxq1tqvaCgkFb8cCA/edit?usp=sharing"",""อุดรธานี!I169"")"),20)</f>
        <v>20</v>
      </c>
      <c r="J249" s="316">
        <f ca="1">IFERROR(__xludf.DUMMYFUNCTION("IMPORTRANGE(""https://docs.google.com/spreadsheets/d/1XL5vhW3sbDhbH9Cz0tuDiY8C3ctxq1tqvaCgkFb8cCA/edit?usp=sharing"",""อุดรธานี!J169"")"),20)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54" t="s">
        <v>17</v>
      </c>
      <c r="E250" s="555"/>
      <c r="F250" s="555"/>
      <c r="G250" s="555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42000</v>
      </c>
      <c r="N250" s="152">
        <f t="shared" ca="1" si="77"/>
        <v>36990</v>
      </c>
      <c r="O250" s="151">
        <f t="shared" ref="O250:O252" ca="1" si="78">IF(L250&gt;0,N250*100/L250,0)</f>
        <v>51.806722689075627</v>
      </c>
      <c r="P250" s="151">
        <f t="shared" ref="P250:P252" ca="1" si="79">IF(M250&gt;0,N250*100/M250,0)</f>
        <v>88.071428571428569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42000</v>
      </c>
      <c r="N252" s="157">
        <f t="shared" ca="1" si="81"/>
        <v>36990</v>
      </c>
      <c r="O252" s="156">
        <f t="shared" ca="1" si="78"/>
        <v>51.806722689075627</v>
      </c>
      <c r="P252" s="156">
        <f t="shared" ca="1" si="79"/>
        <v>88.071428571428569</v>
      </c>
    </row>
    <row r="253" spans="1:16" ht="21.75" customHeight="1" x14ac:dyDescent="0.45">
      <c r="A253" s="158"/>
      <c r="B253" s="159"/>
      <c r="C253" s="159" t="s">
        <v>16</v>
      </c>
      <c r="D253" s="552" t="s">
        <v>20</v>
      </c>
      <c r="E253" s="553"/>
      <c r="F253" s="55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537">
        <f ca="1">IFERROR(__xludf.DUMMYFUNCTION("IMPORTRANGE(""https://docs.google.com/spreadsheets/d/1Yj_ptqi66GCucihVvJfMjLAmec39IyEx_6qawtMGysU/edit?usp=sharing"",""สบก!CB56"")"),42000)</f>
        <v>42000</v>
      </c>
      <c r="N254" s="538">
        <f ca="1">IFERROR(__xludf.DUMMYFUNCTION("IMPORTRANGE(""https://docs.google.com/spreadsheets/d/1Yj_ptqi66GCucihVvJfMjLAmec39IyEx_6qawtMGysU/edit?usp=sharing"",""สบก!CC56"")"),36990)</f>
        <v>36990</v>
      </c>
      <c r="O254" s="169">
        <f ca="1">IF(L254&gt;0,N254*100/L254,0)</f>
        <v>51.806722689075627</v>
      </c>
      <c r="P254" s="169">
        <f ca="1">IF(M254&gt;0,N254*100/M254,0)</f>
        <v>88.071428571428569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537">
        <f ca="1">IFERROR(__xludf.DUMMYFUNCTION("IMPORTRANGE(""https://docs.google.com/spreadsheets/d/1Yj_ptqi66GCucihVvJfMjLAmec39IyEx_6qawtMGysU/edit?usp=sharing"",""สบก!BX56"")"),0)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537">
        <f ca="1">IFERROR(__xludf.DUMMYFUNCTION("IMPORTRANGE(""https://docs.google.com/spreadsheets/d/1Yj_ptqi66GCucihVvJfMjLAmec39IyEx_6qawtMGysU/edit?usp=sharing"",""สบก!BY56"")"),71400)</f>
        <v>71400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52" t="s">
        <v>23</v>
      </c>
      <c r="E257" s="553"/>
      <c r="F257" s="89"/>
      <c r="G257" s="82" t="s">
        <v>18</v>
      </c>
      <c r="H257" s="172" t="s">
        <v>12</v>
      </c>
      <c r="I257" s="162"/>
      <c r="J257" s="162"/>
      <c r="K257" s="163"/>
      <c r="L257" s="535">
        <v>0</v>
      </c>
      <c r="M257" s="535"/>
      <c r="N257" s="41"/>
      <c r="O257" s="535"/>
      <c r="P257" s="535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533">
        <f ca="1">IFERROR(__xludf.DUMMYFUNCTION("IMPORTRANGE(""https://docs.google.com/spreadsheets/d/1Yj_ptqi66GCucihVvJfMjLAmec39IyEx_6qawtMGysU/edit?usp=sharing"",""สบก!BZ56"")"),0)</f>
        <v>0</v>
      </c>
      <c r="M258" s="536"/>
      <c r="N258" s="533">
        <f ca="1">IFERROR(__xludf.DUMMYFUNCTION("IMPORTRANGE(""https://docs.google.com/spreadsheets/d/1Yj_ptqi66GCucihVvJfMjLAmec39IyEx_6qawtMGysU/edit?usp=sharing"",""สบก!CD56"")"),0)</f>
        <v>0</v>
      </c>
      <c r="O258" s="536">
        <f ca="1">IF(L258&gt;0,N258*100/L258,0)</f>
        <v>0</v>
      </c>
      <c r="P258" s="536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IFERROR(__xludf.DUMMYFUNCTION("IMPORTRANGE(""https://docs.google.com/spreadsheets/d/1XL5vhW3sbDhbH9Cz0tuDiY8C3ctxq1tqvaCgkFb8cCA/edit?usp=sharing"",""อุดรธานี!J175"")"),0)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IFERROR(__xludf.DUMMYFUNCTION("IMPORTRANGE(""https://docs.google.com/spreadsheets/d/1XL5vhW3sbDhbH9Cz0tuDiY8C3ctxq1tqvaCgkFb8cCA/edit?usp=sharing"",""อุดรธานี!J176"")"),1)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IFERROR(__xludf.DUMMYFUNCTION("IMPORTRANGE(""https://docs.google.com/spreadsheets/d/1XL5vhW3sbDhbH9Cz0tuDiY8C3ctxq1tqvaCgkFb8cCA/edit?usp=sharing"",""อุดรธานี!J177"")"),1)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IFERROR(__xludf.DUMMYFUNCTION("IMPORTRANGE(""https://docs.google.com/spreadsheets/d/1XL5vhW3sbDhbH9Cz0tuDiY8C3ctxq1tqvaCgkFb8cCA/edit?usp=sharing"",""อุดรธานี!J178"")"),1)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IFERROR(__xludf.DUMMYFUNCTION("IMPORTRANGE(""https://docs.google.com/spreadsheets/d/1XL5vhW3sbDhbH9Cz0tuDiY8C3ctxq1tqvaCgkFb8cCA/edit?usp=sharing"",""อุดรธานี!I179"")"),1)</f>
        <v>1</v>
      </c>
      <c r="J264" s="189">
        <f ca="1">IFERROR(__xludf.DUMMYFUNCTION("IMPORTRANGE(""https://docs.google.com/spreadsheets/d/1XL5vhW3sbDhbH9Cz0tuDiY8C3ctxq1tqvaCgkFb8cCA/edit?usp=sharing"",""อุดรธานี!J179"")"),1)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IFERROR(__xludf.DUMMYFUNCTION("IMPORTRANGE(""https://docs.google.com/spreadsheets/d/1XL5vhW3sbDhbH9Cz0tuDiY8C3ctxq1tqvaCgkFb8cCA/edit?usp=sharing"",""อุดรธานี!I180"")"),20)</f>
        <v>20</v>
      </c>
      <c r="J265" s="189">
        <f ca="1">IFERROR(__xludf.DUMMYFUNCTION("IMPORTRANGE(""https://docs.google.com/spreadsheets/d/1XL5vhW3sbDhbH9Cz0tuDiY8C3ctxq1tqvaCgkFb8cCA/edit?usp=sharing"",""อุดรธานี!J180"")"),20)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IFERROR(__xludf.DUMMYFUNCTION("IMPORTRANGE(""https://docs.google.com/spreadsheets/d/1XL5vhW3sbDhbH9Cz0tuDiY8C3ctxq1tqvaCgkFb8cCA/edit?usp=sharing"",""อุดรธานี!I181"")"),20)</f>
        <v>20</v>
      </c>
      <c r="J266" s="189">
        <f ca="1">IFERROR(__xludf.DUMMYFUNCTION("IMPORTRANGE(""https://docs.google.com/spreadsheets/d/1XL5vhW3sbDhbH9Cz0tuDiY8C3ctxq1tqvaCgkFb8cCA/edit?usp=sharing"",""อุดรธานี!J181"")"),0)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IFERROR(__xludf.DUMMYFUNCTION("IMPORTRANGE(""https://docs.google.com/spreadsheets/d/1XL5vhW3sbDhbH9Cz0tuDiY8C3ctxq1tqvaCgkFb8cCA/edit?usp=sharing"",""อุดรธานี!I182"")"),1)</f>
        <v>1</v>
      </c>
      <c r="J267" s="189">
        <f ca="1">IFERROR(__xludf.DUMMYFUNCTION("IMPORTRANGE(""https://docs.google.com/spreadsheets/d/1XL5vhW3sbDhbH9Cz0tuDiY8C3ctxq1tqvaCgkFb8cCA/edit?usp=sharing"",""อุดรธานี!J182"")"),0)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IFERROR(__xludf.DUMMYFUNCTION("IMPORTRANGE(""https://docs.google.com/spreadsheets/d/1XL5vhW3sbDhbH9Cz0tuDiY8C3ctxq1tqvaCgkFb8cCA/edit?usp=sharing"",""อุดรธานี!J183"")"),0)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IFERROR(__xludf.DUMMYFUNCTION("IMPORTRANGE(""https://docs.google.com/spreadsheets/d/1XL5vhW3sbDhbH9Cz0tuDiY8C3ctxq1tqvaCgkFb8cCA/edit?usp=sharing"",""อุดรธานี!J184"")"),0)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IFERROR(__xludf.DUMMYFUNCTION("IMPORTRANGE(""https://docs.google.com/spreadsheets/d/1XL5vhW3sbDhbH9Cz0tuDiY8C3ctxq1tqvaCgkFb8cCA/edit?usp=sharing"",""อุดรธานี!I185"")"),20)</f>
        <v>20</v>
      </c>
      <c r="J270" s="316">
        <f ca="1">IFERROR(__xludf.DUMMYFUNCTION("IMPORTRANGE(""https://docs.google.com/spreadsheets/d/1XL5vhW3sbDhbH9Cz0tuDiY8C3ctxq1tqvaCgkFb8cCA/edit?usp=sharing"",""อุดรธานี!J185"")"),20)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54" t="s">
        <v>17</v>
      </c>
      <c r="E271" s="555"/>
      <c r="F271" s="555"/>
      <c r="G271" s="555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161600</v>
      </c>
      <c r="N271" s="152">
        <f t="shared" ca="1" si="83"/>
        <v>99273</v>
      </c>
      <c r="O271" s="151">
        <f t="shared" ref="O271:O273" ca="1" si="84">IF(L271&gt;0,N271*100/L271,0)</f>
        <v>54.070261437908499</v>
      </c>
      <c r="P271" s="151">
        <f t="shared" ref="P271:P273" ca="1" si="85">IF(M271&gt;0,N271*100/M271,0)</f>
        <v>61.431311881188115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183600</v>
      </c>
      <c r="M273" s="157">
        <f t="shared" ca="1" si="87"/>
        <v>161600</v>
      </c>
      <c r="N273" s="157">
        <f t="shared" ca="1" si="87"/>
        <v>99273</v>
      </c>
      <c r="O273" s="156">
        <f t="shared" ca="1" si="84"/>
        <v>54.070261437908499</v>
      </c>
      <c r="P273" s="156">
        <f t="shared" ca="1" si="85"/>
        <v>61.431311881188115</v>
      </c>
    </row>
    <row r="274" spans="1:16" ht="21.75" customHeight="1" x14ac:dyDescent="0.45">
      <c r="A274" s="158"/>
      <c r="B274" s="159"/>
      <c r="C274" s="159" t="s">
        <v>16</v>
      </c>
      <c r="D274" s="552" t="s">
        <v>20</v>
      </c>
      <c r="E274" s="553"/>
      <c r="F274" s="55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183600</v>
      </c>
      <c r="M275" s="537">
        <f ca="1">IFERROR(__xludf.DUMMYFUNCTION("IMPORTRANGE(""https://docs.google.com/spreadsheets/d/1Yj_ptqi66GCucihVvJfMjLAmec39IyEx_6qawtMGysU/edit?usp=sharing"",""สบก!CK56"")"),161600)</f>
        <v>161600</v>
      </c>
      <c r="N275" s="538">
        <f ca="1">IFERROR(__xludf.DUMMYFUNCTION("IMPORTRANGE(""https://docs.google.com/spreadsheets/d/1Yj_ptqi66GCucihVvJfMjLAmec39IyEx_6qawtMGysU/edit?usp=sharing"",""สบก!CL56"")"),99273)</f>
        <v>99273</v>
      </c>
      <c r="O275" s="169">
        <f ca="1">IF(L275&gt;0,N275*100/L275,0)</f>
        <v>54.070261437908499</v>
      </c>
      <c r="P275" s="169">
        <f ca="1">IF(M275&gt;0,N275*100/M275,0)</f>
        <v>61.431311881188115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537">
        <f ca="1">IFERROR(__xludf.DUMMYFUNCTION("IMPORTRANGE(""https://docs.google.com/spreadsheets/d/1Yj_ptqi66GCucihVvJfMjLAmec39IyEx_6qawtMGysU/edit?usp=sharing"",""สบก!CG56"")"),0)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537">
        <f ca="1">IFERROR(__xludf.DUMMYFUNCTION("IMPORTRANGE(""https://docs.google.com/spreadsheets/d/1Yj_ptqi66GCucihVvJfMjLAmec39IyEx_6qawtMGysU/edit?usp=sharing"",""สบก!CH56"")"),183600)</f>
        <v>183600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52" t="s">
        <v>23</v>
      </c>
      <c r="E278" s="553"/>
      <c r="F278" s="89"/>
      <c r="G278" s="82" t="s">
        <v>18</v>
      </c>
      <c r="H278" s="172" t="s">
        <v>12</v>
      </c>
      <c r="I278" s="162"/>
      <c r="J278" s="162"/>
      <c r="K278" s="163"/>
      <c r="L278" s="535">
        <v>0</v>
      </c>
      <c r="M278" s="535"/>
      <c r="N278" s="41"/>
      <c r="O278" s="535"/>
      <c r="P278" s="535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533">
        <f ca="1">IFERROR(__xludf.DUMMYFUNCTION("IMPORTRANGE(""https://docs.google.com/spreadsheets/d/1Yj_ptqi66GCucihVvJfMjLAmec39IyEx_6qawtMGysU/edit?usp=sharing"",""สบก!CI56"")"),0)</f>
        <v>0</v>
      </c>
      <c r="M279" s="536"/>
      <c r="N279" s="533">
        <f ca="1">IFERROR(__xludf.DUMMYFUNCTION("IMPORTRANGE(""https://docs.google.com/spreadsheets/d/1Yj_ptqi66GCucihVvJfMjLAmec39IyEx_6qawtMGysU/edit?usp=sharing"",""สบก!CM56"")"),0)</f>
        <v>0</v>
      </c>
      <c r="O279" s="536">
        <f ca="1">IF(L279&gt;0,N279*100/L279,0)</f>
        <v>0</v>
      </c>
      <c r="P279" s="536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IFERROR(__xludf.DUMMYFUNCTION("IMPORTRANGE(""https://docs.google.com/spreadsheets/d/1XL5vhW3sbDhbH9Cz0tuDiY8C3ctxq1tqvaCgkFb8cCA/edit?usp=sharing"",""อุดรธานี!J191"")"),0)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IFERROR(__xludf.DUMMYFUNCTION("IMPORTRANGE(""https://docs.google.com/spreadsheets/d/1XL5vhW3sbDhbH9Cz0tuDiY8C3ctxq1tqvaCgkFb8cCA/edit?usp=sharing"",""อุดรธานี!J192"")"),1)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IFERROR(__xludf.DUMMYFUNCTION("IMPORTRANGE(""https://docs.google.com/spreadsheets/d/1XL5vhW3sbDhbH9Cz0tuDiY8C3ctxq1tqvaCgkFb8cCA/edit?usp=sharing"",""อุดรธานี!J193"")"),1)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IFERROR(__xludf.DUMMYFUNCTION("IMPORTRANGE(""https://docs.google.com/spreadsheets/d/1XL5vhW3sbDhbH9Cz0tuDiY8C3ctxq1tqvaCgkFb8cCA/edit?usp=sharing"",""อุดรธานี!J194"")"),1)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IFERROR(__xludf.DUMMYFUNCTION("IMPORTRANGE(""https://docs.google.com/spreadsheets/d/1XL5vhW3sbDhbH9Cz0tuDiY8C3ctxq1tqvaCgkFb8cCA/edit?usp=sharing"",""อุดรธานี!I195"")"),20)</f>
        <v>20</v>
      </c>
      <c r="J285" s="189">
        <f ca="1">IFERROR(__xludf.DUMMYFUNCTION("IMPORTRANGE(""https://docs.google.com/spreadsheets/d/1XL5vhW3sbDhbH9Cz0tuDiY8C3ctxq1tqvaCgkFb8cCA/edit?usp=sharing"",""อุดรธานี!J195"")"),20)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IFERROR(__xludf.DUMMYFUNCTION("IMPORTRANGE(""https://docs.google.com/spreadsheets/d/1XL5vhW3sbDhbH9Cz0tuDiY8C3ctxq1tqvaCgkFb8cCA/edit?usp=sharing"",""อุดรธานี!J196"")"),0)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IFERROR(__xludf.DUMMYFUNCTION("IMPORTRANGE(""https://docs.google.com/spreadsheets/d/1XL5vhW3sbDhbH9Cz0tuDiY8C3ctxq1tqvaCgkFb8cCA/edit?usp=sharing"",""อุดรธานี!J197"")"),0)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IFERROR(__xludf.DUMMYFUNCTION("IMPORTRANGE(""https://docs.google.com/spreadsheets/d/1XL5vhW3sbDhbH9Cz0tuDiY8C3ctxq1tqvaCgkFb8cCA/edit?usp=sharing"",""อุดรธานี!I199"")"),0)</f>
        <v>0</v>
      </c>
      <c r="J289" s="316">
        <f ca="1">IFERROR(__xludf.DUMMYFUNCTION("IMPORTRANGE(""https://docs.google.com/spreadsheets/d/1XL5vhW3sbDhbH9Cz0tuDiY8C3ctxq1tqvaCgkFb8cCA/edit?usp=sharing"",""อุดรธานี!J199"")"),0)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54" t="s">
        <v>17</v>
      </c>
      <c r="E290" s="555"/>
      <c r="F290" s="555"/>
      <c r="G290" s="55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52" t="s">
        <v>20</v>
      </c>
      <c r="E293" s="553"/>
      <c r="F293" s="55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537">
        <f ca="1">IFERROR(__xludf.DUMMYFUNCTION("IMPORTRANGE(""https://docs.google.com/spreadsheets/d/1Yj_ptqi66GCucihVvJfMjLAmec39IyEx_6qawtMGysU/edit?usp=sharing"",""สบก!CT56"")"),0)</f>
        <v>0</v>
      </c>
      <c r="N294" s="538">
        <f ca="1">IFERROR(__xludf.DUMMYFUNCTION("IMPORTRANGE(""https://docs.google.com/spreadsheets/d/1Yj_ptqi66GCucihVvJfMjLAmec39IyEx_6qawtMGysU/edit?usp=sharing"",""สบก!CU56"")"),0)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537">
        <f ca="1">IFERROR(__xludf.DUMMYFUNCTION("IMPORTRANGE(""https://docs.google.com/spreadsheets/d/1Yj_ptqi66GCucihVvJfMjLAmec39IyEx_6qawtMGysU/edit?usp=sharing"",""สบก!CP56"")"),0)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537">
        <f ca="1">IFERROR(__xludf.DUMMYFUNCTION("IMPORTRANGE(""https://docs.google.com/spreadsheets/d/1Yj_ptqi66GCucihVvJfMjLAmec39IyEx_6qawtMGysU/edit?usp=sharing"",""สบก!CQ56"")"),0)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52" t="s">
        <v>23</v>
      </c>
      <c r="E297" s="553"/>
      <c r="F297" s="89"/>
      <c r="G297" s="82" t="s">
        <v>18</v>
      </c>
      <c r="H297" s="172" t="s">
        <v>12</v>
      </c>
      <c r="I297" s="188"/>
      <c r="J297" s="188"/>
      <c r="K297" s="224"/>
      <c r="L297" s="535">
        <v>0</v>
      </c>
      <c r="M297" s="535"/>
      <c r="N297" s="41"/>
      <c r="O297" s="535"/>
      <c r="P297" s="535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533">
        <f ca="1">IFERROR(__xludf.DUMMYFUNCTION("IMPORTRANGE(""https://docs.google.com/spreadsheets/d/1Yj_ptqi66GCucihVvJfMjLAmec39IyEx_6qawtMGysU/edit?usp=sharing"",""สบก!CR56"")"),0)</f>
        <v>0</v>
      </c>
      <c r="M298" s="536"/>
      <c r="N298" s="533">
        <f ca="1">IFERROR(__xludf.DUMMYFUNCTION("IMPORTRANGE(""https://docs.google.com/spreadsheets/d/1Yj_ptqi66GCucihVvJfMjLAmec39IyEx_6qawtMGysU/edit?usp=sharing"",""สบก!CV56"")"),0)</f>
        <v>0</v>
      </c>
      <c r="O298" s="536">
        <f ca="1">IF(L298&gt;0,N298*100/L298,0)</f>
        <v>0</v>
      </c>
      <c r="P298" s="536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IFERROR(__xludf.DUMMYFUNCTION("IMPORTRANGE(""https://docs.google.com/spreadsheets/d/1XL5vhW3sbDhbH9Cz0tuDiY8C3ctxq1tqvaCgkFb8cCA/edit?usp=sharing"",""อุดรธานี!J205"")"),0)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IFERROR(__xludf.DUMMYFUNCTION("IMPORTRANGE(""https://docs.google.com/spreadsheets/d/1XL5vhW3sbDhbH9Cz0tuDiY8C3ctxq1tqvaCgkFb8cCA/edit?usp=sharing"",""อุดรธานี!J206"")"),0)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IFERROR(__xludf.DUMMYFUNCTION("IMPORTRANGE(""https://docs.google.com/spreadsheets/d/1XL5vhW3sbDhbH9Cz0tuDiY8C3ctxq1tqvaCgkFb8cCA/edit?usp=sharing"",""อุดรธานี!J207"")"),0)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IFERROR(__xludf.DUMMYFUNCTION("IMPORTRANGE(""https://docs.google.com/spreadsheets/d/1XL5vhW3sbDhbH9Cz0tuDiY8C3ctxq1tqvaCgkFb8cCA/edit?usp=sharing"",""อุดรธานี!J208"")"),0)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IFERROR(__xludf.DUMMYFUNCTION("IMPORTRANGE(""https://docs.google.com/spreadsheets/d/1XL5vhW3sbDhbH9Cz0tuDiY8C3ctxq1tqvaCgkFb8cCA/edit?usp=sharing"",""อุดรธานี!I209"")"),0)</f>
        <v>0</v>
      </c>
      <c r="J304" s="204">
        <f ca="1">IFERROR(__xludf.DUMMYFUNCTION("IMPORTRANGE(""https://docs.google.com/spreadsheets/d/1XL5vhW3sbDhbH9Cz0tuDiY8C3ctxq1tqvaCgkFb8cCA/edit?usp=sharing"",""อุดรธานี!J209"")"),0)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IFERROR(__xludf.DUMMYFUNCTION("IMPORTRANGE(""https://docs.google.com/spreadsheets/d/1XL5vhW3sbDhbH9Cz0tuDiY8C3ctxq1tqvaCgkFb8cCA/edit?usp=sharing"",""อุดรธานี!I211"")"),0)</f>
        <v>0</v>
      </c>
      <c r="J306" s="204">
        <f ca="1">IFERROR(__xludf.DUMMYFUNCTION("IMPORTRANGE(""https://docs.google.com/spreadsheets/d/1XL5vhW3sbDhbH9Cz0tuDiY8C3ctxq1tqvaCgkFb8cCA/edit?usp=sharing"",""อุดรธานี!J211"")"),0)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IFERROR(__xludf.DUMMYFUNCTION("IMPORTRANGE(""https://docs.google.com/spreadsheets/d/1XL5vhW3sbDhbH9Cz0tuDiY8C3ctxq1tqvaCgkFb8cCA/edit?usp=sharing"",""อุดรธานี!J212"")"),0)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IFERROR(__xludf.DUMMYFUNCTION("IMPORTRANGE(""https://docs.google.com/spreadsheets/d/1XL5vhW3sbDhbH9Cz0tuDiY8C3ctxq1tqvaCgkFb8cCA/edit?usp=sharing"",""อุดรธานี!J213"")"),0)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IFERROR(__xludf.DUMMYFUNCTION("IMPORTRANGE(""https://docs.google.com/spreadsheets/d/1XL5vhW3sbDhbH9Cz0tuDiY8C3ctxq1tqvaCgkFb8cCA/edit?usp=sharing"",""อุดรธานี!I214"")"),0)</f>
        <v>0</v>
      </c>
      <c r="J309" s="333">
        <f ca="1">IFERROR(__xludf.DUMMYFUNCTION("IMPORTRANGE(""https://docs.google.com/spreadsheets/d/1XL5vhW3sbDhbH9Cz0tuDiY8C3ctxq1tqvaCgkFb8cCA/edit?usp=sharing"",""อุดรธานี!J214"")"),0)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54" t="s">
        <v>17</v>
      </c>
      <c r="E310" s="555"/>
      <c r="F310" s="555"/>
      <c r="G310" s="55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52" t="s">
        <v>20</v>
      </c>
      <c r="E313" s="553"/>
      <c r="F313" s="55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537">
        <f ca="1">IFERROR(__xludf.DUMMYFUNCTION("IMPORTRANGE(""https://docs.google.com/spreadsheets/d/1Yj_ptqi66GCucihVvJfMjLAmec39IyEx_6qawtMGysU/edit?usp=sharing"",""สบก!DC56"")"),0)</f>
        <v>0</v>
      </c>
      <c r="N314" s="538">
        <f ca="1">IFERROR(__xludf.DUMMYFUNCTION("IMPORTRANGE(""https://docs.google.com/spreadsheets/d/1Yj_ptqi66GCucihVvJfMjLAmec39IyEx_6qawtMGysU/edit?usp=sharing"",""สบก!DD56"")"),0)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537">
        <f ca="1">IFERROR(__xludf.DUMMYFUNCTION("IMPORTRANGE(""https://docs.google.com/spreadsheets/d/1Yj_ptqi66GCucihVvJfMjLAmec39IyEx_6qawtMGysU/edit?usp=sharing"",""สบก!CY56"")"),0)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537">
        <f ca="1">IFERROR(__xludf.DUMMYFUNCTION("IMPORTRANGE(""https://docs.google.com/spreadsheets/d/1Yj_ptqi66GCucihVvJfMjLAmec39IyEx_6qawtMGysU/edit?usp=sharing"",""สบก!CZ56"")"),0)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52" t="s">
        <v>23</v>
      </c>
      <c r="E317" s="553"/>
      <c r="F317" s="89"/>
      <c r="G317" s="82" t="s">
        <v>18</v>
      </c>
      <c r="H317" s="172" t="s">
        <v>12</v>
      </c>
      <c r="I317" s="162"/>
      <c r="J317" s="188"/>
      <c r="K317" s="224"/>
      <c r="L317" s="535">
        <v>0</v>
      </c>
      <c r="M317" s="535"/>
      <c r="N317" s="41"/>
      <c r="O317" s="535"/>
      <c r="P317" s="535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533">
        <f ca="1">IFERROR(__xludf.DUMMYFUNCTION("IMPORTRANGE(""https://docs.google.com/spreadsheets/d/1Yj_ptqi66GCucihVvJfMjLAmec39IyEx_6qawtMGysU/edit?usp=sharing"",""สบก!DA56"")"),0)</f>
        <v>0</v>
      </c>
      <c r="M318" s="536"/>
      <c r="N318" s="533">
        <f ca="1">IFERROR(__xludf.DUMMYFUNCTION("IMPORTRANGE(""https://docs.google.com/spreadsheets/d/1Yj_ptqi66GCucihVvJfMjLAmec39IyEx_6qawtMGysU/edit?usp=sharing"",""สบก!DE56"")"),0)</f>
        <v>0</v>
      </c>
      <c r="O318" s="536">
        <f ca="1">IF(L318&gt;0,N318*100/L318,0)</f>
        <v>0</v>
      </c>
      <c r="P318" s="536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IFERROR(__xludf.DUMMYFUNCTION("IMPORTRANGE(""https://docs.google.com/spreadsheets/d/1XL5vhW3sbDhbH9Cz0tuDiY8C3ctxq1tqvaCgkFb8cCA/edit?usp=sharing"",""อุดรธานี!J220"")"),0)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IFERROR(__xludf.DUMMYFUNCTION("IMPORTRANGE(""https://docs.google.com/spreadsheets/d/1XL5vhW3sbDhbH9Cz0tuDiY8C3ctxq1tqvaCgkFb8cCA/edit?usp=sharing"",""อุดรธานี!J221"")"),0)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IFERROR(__xludf.DUMMYFUNCTION("IMPORTRANGE(""https://docs.google.com/spreadsheets/d/1XL5vhW3sbDhbH9Cz0tuDiY8C3ctxq1tqvaCgkFb8cCA/edit?usp=sharing"",""อุดรธานี!J222"")"),0)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IFERROR(__xludf.DUMMYFUNCTION("IMPORTRANGE(""https://docs.google.com/spreadsheets/d/1XL5vhW3sbDhbH9Cz0tuDiY8C3ctxq1tqvaCgkFb8cCA/edit?usp=sharing"",""อุดรธานี!J223"")"),0)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IFERROR(__xludf.DUMMYFUNCTION("IMPORTRANGE(""https://docs.google.com/spreadsheets/d/1XL5vhW3sbDhbH9Cz0tuDiY8C3ctxq1tqvaCgkFb8cCA/edit?usp=sharing"",""อุดรธานี!I224"")"),0)</f>
        <v>0</v>
      </c>
      <c r="J324" s="204">
        <f ca="1">IFERROR(__xludf.DUMMYFUNCTION("IMPORTRANGE(""https://docs.google.com/spreadsheets/d/1XL5vhW3sbDhbH9Cz0tuDiY8C3ctxq1tqvaCgkFb8cCA/edit?usp=sharing"",""อุดรธานี!J224"")"),0)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IFERROR(__xludf.DUMMYFUNCTION("IMPORTRANGE(""https://docs.google.com/spreadsheets/d/1XL5vhW3sbDhbH9Cz0tuDiY8C3ctxq1tqvaCgkFb8cCA/edit?usp=sharing"",""อุดรธานี!J225"")"),0)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IFERROR(__xludf.DUMMYFUNCTION("IMPORTRANGE(""https://docs.google.com/spreadsheets/d/1XL5vhW3sbDhbH9Cz0tuDiY8C3ctxq1tqvaCgkFb8cCA/edit?usp=sharing"",""อุดรธานี!J226"")"),0)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IFERROR(__xludf.DUMMYFUNCTION("IMPORTRANGE(""https://docs.google.com/spreadsheets/d/1XL5vhW3sbDhbH9Cz0tuDiY8C3ctxq1tqvaCgkFb8cCA/edit?usp=sharing"",""อุดรธานี!I228"")"),1060)</f>
        <v>1060</v>
      </c>
      <c r="J328" s="339">
        <f ca="1">IFERROR(__xludf.DUMMYFUNCTION("IMPORTRANGE(""https://docs.google.com/spreadsheets/d/1XL5vhW3sbDhbH9Cz0tuDiY8C3ctxq1tqvaCgkFb8cCA/edit?usp=sharing"",""อุดรธานี!J228"")"),566)</f>
        <v>566</v>
      </c>
      <c r="K328" s="317">
        <f ca="1">IF(I328&gt;0,J328*100/I328,0)</f>
        <v>53.39622641509434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54" t="s">
        <v>17</v>
      </c>
      <c r="E329" s="555"/>
      <c r="F329" s="555"/>
      <c r="G329" s="555"/>
      <c r="H329" s="149" t="s">
        <v>12</v>
      </c>
      <c r="I329" s="162"/>
      <c r="J329" s="162"/>
      <c r="K329" s="163"/>
      <c r="L329" s="152">
        <f t="shared" ref="L329:N329" ca="1" si="98">L330+L331</f>
        <v>1970220</v>
      </c>
      <c r="M329" s="152">
        <f t="shared" ca="1" si="98"/>
        <v>1544070</v>
      </c>
      <c r="N329" s="152">
        <f t="shared" ca="1" si="98"/>
        <v>1245628.19</v>
      </c>
      <c r="O329" s="151">
        <f t="shared" ref="O329:O331" ca="1" si="99">IF(L329&gt;0,N329*100/L329,0)</f>
        <v>63.22279694653389</v>
      </c>
      <c r="P329" s="151">
        <f t="shared" ref="P329:P331" ca="1" si="100">IF(M329&gt;0,N329*100/M329,0)</f>
        <v>80.671743509037796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1970220</v>
      </c>
      <c r="M331" s="157">
        <f t="shared" ca="1" si="102"/>
        <v>1544070</v>
      </c>
      <c r="N331" s="157">
        <f t="shared" ca="1" si="102"/>
        <v>1245628.19</v>
      </c>
      <c r="O331" s="156">
        <f t="shared" ca="1" si="99"/>
        <v>63.22279694653389</v>
      </c>
      <c r="P331" s="156">
        <f t="shared" ca="1" si="100"/>
        <v>80.671743509037796</v>
      </c>
    </row>
    <row r="332" spans="1:16" ht="21.75" customHeight="1" x14ac:dyDescent="0.45">
      <c r="A332" s="158"/>
      <c r="B332" s="159"/>
      <c r="C332" s="159" t="s">
        <v>16</v>
      </c>
      <c r="D332" s="552" t="s">
        <v>20</v>
      </c>
      <c r="E332" s="553"/>
      <c r="F332" s="55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1831220</v>
      </c>
      <c r="M333" s="537">
        <f ca="1">IFERROR(__xludf.DUMMYFUNCTION("IMPORTRANGE(""https://docs.google.com/spreadsheets/d/1Yj_ptqi66GCucihVvJfMjLAmec39IyEx_6qawtMGysU/edit?usp=sharing"",""สบก!DL56"")"),1405070)</f>
        <v>1405070</v>
      </c>
      <c r="N333" s="538">
        <f ca="1">IFERROR(__xludf.DUMMYFUNCTION("IMPORTRANGE(""https://docs.google.com/spreadsheets/d/1Yj_ptqi66GCucihVvJfMjLAmec39IyEx_6qawtMGysU/edit?usp=sharing"",""สบก!DM56"")"),1106628.19)</f>
        <v>1106628.19</v>
      </c>
      <c r="O333" s="169">
        <f ca="1">IF(L333&gt;0,N333*100/L333,0)</f>
        <v>60.43119832679853</v>
      </c>
      <c r="P333" s="169">
        <f ca="1">IF(M333&gt;0,N333*100/M333,0)</f>
        <v>78.75964827375148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537">
        <f ca="1">IFERROR(__xludf.DUMMYFUNCTION("IMPORTRANGE(""https://docs.google.com/spreadsheets/d/1Yj_ptqi66GCucihVvJfMjLAmec39IyEx_6qawtMGysU/edit?usp=sharing"",""สบก!DH56"")"),306000)</f>
        <v>306000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537">
        <f ca="1">IFERROR(__xludf.DUMMYFUNCTION("IMPORTRANGE(""https://docs.google.com/spreadsheets/d/1Yj_ptqi66GCucihVvJfMjLAmec39IyEx_6qawtMGysU/edit?usp=sharing"",""สบก!DI56"")"),1525220)</f>
        <v>1525220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52" t="s">
        <v>23</v>
      </c>
      <c r="E336" s="553"/>
      <c r="F336" s="89"/>
      <c r="G336" s="82" t="s">
        <v>18</v>
      </c>
      <c r="H336" s="172" t="s">
        <v>12</v>
      </c>
      <c r="I336" s="162"/>
      <c r="J336" s="162"/>
      <c r="K336" s="163"/>
      <c r="L336" s="535">
        <v>0</v>
      </c>
      <c r="M336" s="535"/>
      <c r="N336" s="41"/>
      <c r="O336" s="535"/>
      <c r="P336" s="535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533">
        <f ca="1">IFERROR(__xludf.DUMMYFUNCTION("IMPORTRANGE(""https://docs.google.com/spreadsheets/d/1Yj_ptqi66GCucihVvJfMjLAmec39IyEx_6qawtMGysU/edit?usp=sharing"",""สบก!DJ56"")"),139000)</f>
        <v>139000</v>
      </c>
      <c r="M337" s="536">
        <f ca="1">L337</f>
        <v>139000</v>
      </c>
      <c r="N337" s="533">
        <f ca="1">IFERROR(__xludf.DUMMYFUNCTION("IMPORTRANGE(""https://docs.google.com/spreadsheets/d/1Yj_ptqi66GCucihVvJfMjLAmec39IyEx_6qawtMGysU/edit?usp=sharing"",""สบก!DN56"")"),139000)</f>
        <v>139000</v>
      </c>
      <c r="O337" s="536">
        <f ca="1">IF(L337&gt;0,N337*100/L337,0)</f>
        <v>100</v>
      </c>
      <c r="P337" s="536">
        <f ca="1">IF(M337&gt;0,N337*100/M337,0)</f>
        <v>100</v>
      </c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IFERROR(__xludf.DUMMYFUNCTION("IMPORTRANGE(""https://docs.google.com/spreadsheets/d/1XL5vhW3sbDhbH9Cz0tuDiY8C3ctxq1tqvaCgkFb8cCA/edit?usp=sharing"",""อุดรธานี!I234"")"),0)</f>
        <v>0</v>
      </c>
      <c r="J339" s="188">
        <f ca="1">IFERROR(__xludf.DUMMYFUNCTION("IMPORTRANGE(""https://docs.google.com/spreadsheets/d/1XL5vhW3sbDhbH9Cz0tuDiY8C3ctxq1tqvaCgkFb8cCA/edit?usp=sharing"",""อุดรธานี!J234"")"),746)</f>
        <v>746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IFERROR(__xludf.DUMMYFUNCTION("IMPORTRANGE(""https://docs.google.com/spreadsheets/d/1XL5vhW3sbDhbH9Cz0tuDiY8C3ctxq1tqvaCgkFb8cCA/edit?usp=sharing"",""อุดรธานี!I235"")"),12500)</f>
        <v>12500</v>
      </c>
      <c r="J340" s="188">
        <f ca="1">IFERROR(__xludf.DUMMYFUNCTION("IMPORTRANGE(""https://docs.google.com/spreadsheets/d/1XL5vhW3sbDhbH9Cz0tuDiY8C3ctxq1tqvaCgkFb8cCA/edit?usp=sharing"",""อุดรธานี!J235"")"),7842.65)</f>
        <v>7842.65</v>
      </c>
      <c r="K340" s="342">
        <f t="shared" ca="1" si="103"/>
        <v>62.741199999999999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IFERROR(__xludf.DUMMYFUNCTION("IMPORTRANGE(""https://docs.google.com/spreadsheets/d/1XL5vhW3sbDhbH9Cz0tuDiY8C3ctxq1tqvaCgkFb8cCA/edit?usp=sharing"",""อุดรธานี!I236"")"),1060)</f>
        <v>1060</v>
      </c>
      <c r="J341" s="188">
        <f ca="1">IFERROR(__xludf.DUMMYFUNCTION("IMPORTRANGE(""https://docs.google.com/spreadsheets/d/1XL5vhW3sbDhbH9Cz0tuDiY8C3ctxq1tqvaCgkFb8cCA/edit?usp=sharing"",""อุดรธานี!J236"")"),1241)</f>
        <v>1241</v>
      </c>
      <c r="K341" s="342">
        <f t="shared" ca="1" si="103"/>
        <v>117.0754716981132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IFERROR(__xludf.DUMMYFUNCTION("IMPORTRANGE(""https://docs.google.com/spreadsheets/d/1XL5vhW3sbDhbH9Cz0tuDiY8C3ctxq1tqvaCgkFb8cCA/edit?usp=sharing"",""อุดรธานี!I237"")"),0)</f>
        <v>0</v>
      </c>
      <c r="J342" s="188">
        <f ca="1">IFERROR(__xludf.DUMMYFUNCTION("IMPORTRANGE(""https://docs.google.com/spreadsheets/d/1XL5vhW3sbDhbH9Cz0tuDiY8C3ctxq1tqvaCgkFb8cCA/edit?usp=sharing"",""อุดรธานี!J237"")"),20073.47)</f>
        <v>20073.47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IFERROR(__xludf.DUMMYFUNCTION("IMPORTRANGE(""https://docs.google.com/spreadsheets/d/1XL5vhW3sbDhbH9Cz0tuDiY8C3ctxq1tqvaCgkFb8cCA/edit?usp=sharing"",""อุดรธานี!I238"")"),1060)</f>
        <v>1060</v>
      </c>
      <c r="J343" s="188">
        <f ca="1">IFERROR(__xludf.DUMMYFUNCTION("IMPORTRANGE(""https://docs.google.com/spreadsheets/d/1XL5vhW3sbDhbH9Cz0tuDiY8C3ctxq1tqvaCgkFb8cCA/edit?usp=sharing"",""อุดรธานี!J238"")"),527)</f>
        <v>527</v>
      </c>
      <c r="K343" s="342">
        <f t="shared" ca="1" si="103"/>
        <v>49.716981132075475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IFERROR(__xludf.DUMMYFUNCTION("IMPORTRANGE(""https://docs.google.com/spreadsheets/d/1XL5vhW3sbDhbH9Cz0tuDiY8C3ctxq1tqvaCgkFb8cCA/edit?usp=sharing"",""อุดรธานี!I239"")"),0)</f>
        <v>0</v>
      </c>
      <c r="J344" s="188">
        <f ca="1">IFERROR(__xludf.DUMMYFUNCTION("IMPORTRANGE(""https://docs.google.com/spreadsheets/d/1XL5vhW3sbDhbH9Cz0tuDiY8C3ctxq1tqvaCgkFb8cCA/edit?usp=sharing"",""อุดรธานี!J239"")"),5968.12)</f>
        <v>5968.12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IFERROR(__xludf.DUMMYFUNCTION("IMPORTRANGE(""https://docs.google.com/spreadsheets/d/1XL5vhW3sbDhbH9Cz0tuDiY8C3ctxq1tqvaCgkFb8cCA/edit?usp=sharing"",""อุดรธานี!I240"")"),1060)</f>
        <v>1060</v>
      </c>
      <c r="J345" s="188">
        <f ca="1">IFERROR(__xludf.DUMMYFUNCTION("IMPORTRANGE(""https://docs.google.com/spreadsheets/d/1XL5vhW3sbDhbH9Cz0tuDiY8C3ctxq1tqvaCgkFb8cCA/edit?usp=sharing"",""อุดรธานี!J240"")"),566)</f>
        <v>566</v>
      </c>
      <c r="K345" s="342">
        <f t="shared" ca="1" si="103"/>
        <v>53.39622641509434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IFERROR(__xludf.DUMMYFUNCTION("IMPORTRANGE(""https://docs.google.com/spreadsheets/d/1XL5vhW3sbDhbH9Cz0tuDiY8C3ctxq1tqvaCgkFb8cCA/edit?usp=sharing"",""อุดรธานี!I241"")"),0)</f>
        <v>0</v>
      </c>
      <c r="J346" s="188">
        <f ca="1">IFERROR(__xludf.DUMMYFUNCTION("IMPORTRANGE(""https://docs.google.com/spreadsheets/d/1XL5vhW3sbDhbH9Cz0tuDiY8C3ctxq1tqvaCgkFb8cCA/edit?usp=sharing"",""อุดรธานี!J241"")"),6535.46)</f>
        <v>6535.46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IFERROR(__xludf.DUMMYFUNCTION("IMPORTRANGE(""https://docs.google.com/spreadsheets/d/1XL5vhW3sbDhbH9Cz0tuDiY8C3ctxq1tqvaCgkFb8cCA/edit?usp=sharing"",""อุดรธานี!L242"")"),3349991)</f>
        <v>3349991</v>
      </c>
      <c r="M347" s="358"/>
      <c r="N347" s="358">
        <f ca="1">IFERROR(__xludf.DUMMYFUNCTION("IMPORTRANGE(""https://docs.google.com/spreadsheets/d/1XL5vhW3sbDhbH9Cz0tuDiY8C3ctxq1tqvaCgkFb8cCA/edit?usp=sharing"",""อุดรธานี!M242"")"),1324039.96)</f>
        <v>1324039.96</v>
      </c>
      <c r="O347" s="358">
        <f ca="1">+IF(L347&gt;0,N347*100/L347,0)</f>
        <v>39.523687078562304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IFERROR(__xludf.DUMMYFUNCTION("IMPORTRANGE(""https://docs.google.com/spreadsheets/d/1XL5vhW3sbDhbH9Cz0tuDiY8C3ctxq1tqvaCgkFb8cCA/edit?usp=sharing"",""อุดรธานี!I244"")"),662)</f>
        <v>662</v>
      </c>
      <c r="J349" s="371">
        <f ca="1">IFERROR(__xludf.DUMMYFUNCTION("IMPORTRANGE(""https://docs.google.com/spreadsheets/d/1XL5vhW3sbDhbH9Cz0tuDiY8C3ctxq1tqvaCgkFb8cCA/edit?usp=sharing"",""อุดรธานี!J244"")"),0)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IFERROR(__xludf.DUMMYFUNCTION("IMPORTRANGE(""https://docs.google.com/spreadsheets/d/1XL5vhW3sbDhbH9Cz0tuDiY8C3ctxq1tqvaCgkFb8cCA/edit?usp=sharing"",""อุดรธานี!L244"")"),1007200)</f>
        <v>1007200</v>
      </c>
      <c r="M349" s="373"/>
      <c r="N349" s="373">
        <f ca="1">IFERROR(__xludf.DUMMYFUNCTION("IMPORTRANGE(""https://docs.google.com/spreadsheets/d/1XL5vhW3sbDhbH9Cz0tuDiY8C3ctxq1tqvaCgkFb8cCA/edit?usp=sharing"",""อุดรธานี!M244"")"),219973.7)</f>
        <v>219973.7</v>
      </c>
      <c r="O349" s="373">
        <f ca="1">+IF(L349&gt;0,N349*100/L349,0)</f>
        <v>21.840121127879268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IFERROR(__xludf.DUMMYFUNCTION("IMPORTRANGE(""https://docs.google.com/spreadsheets/d/1XL5vhW3sbDhbH9Cz0tuDiY8C3ctxq1tqvaCgkFb8cCA/edit?usp=sharing"",""อุดรธานี!I245"")"),140)</f>
        <v>140</v>
      </c>
      <c r="J350" s="371">
        <f ca="1">IFERROR(__xludf.DUMMYFUNCTION("IMPORTRANGE(""https://docs.google.com/spreadsheets/d/1XL5vhW3sbDhbH9Cz0tuDiY8C3ctxq1tqvaCgkFb8cCA/edit?usp=sharing"",""อุดรธานี!J245"")"),140)</f>
        <v>140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IFERROR(__xludf.DUMMYFUNCTION("IMPORTRANGE(""https://docs.google.com/spreadsheets/d/1XL5vhW3sbDhbH9Cz0tuDiY8C3ctxq1tqvaCgkFb8cCA/edit?usp=sharing"",""อุดรธานี!L246"")"),0)</f>
        <v>0</v>
      </c>
      <c r="M351" s="164"/>
      <c r="N351" s="164">
        <f ca="1">IFERROR(__xludf.DUMMYFUNCTION("IMPORTRANGE(""https://docs.google.com/spreadsheets/d/1XL5vhW3sbDhbH9Cz0tuDiY8C3ctxq1tqvaCgkFb8cCA/edit?usp=sharing"",""อุดรธานี!M246"")"),0)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IFERROR(__xludf.DUMMYFUNCTION("IMPORTRANGE(""https://docs.google.com/spreadsheets/d/1XL5vhW3sbDhbH9Cz0tuDiY8C3ctxq1tqvaCgkFb8cCA/edit?usp=sharing"",""อุดรธานี!L247"")"),1007200)</f>
        <v>1007200</v>
      </c>
      <c r="M352" s="165"/>
      <c r="N352" s="164">
        <f ca="1">IFERROR(__xludf.DUMMYFUNCTION("IMPORTRANGE(""https://docs.google.com/spreadsheets/d/1XL5vhW3sbDhbH9Cz0tuDiY8C3ctxq1tqvaCgkFb8cCA/edit?usp=sharing"",""อุดรธานี!M247"")"),219973.7)</f>
        <v>219973.7</v>
      </c>
      <c r="O352" s="165">
        <f t="shared" ca="1" si="105"/>
        <v>21.840121127879268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IFERROR(__xludf.DUMMYFUNCTION("IMPORTRANGE(""https://docs.google.com/spreadsheets/d/1XL5vhW3sbDhbH9Cz0tuDiY8C3ctxq1tqvaCgkFb8cCA/edit?usp=sharing"",""อุดรธานี!L248"")"),0)</f>
        <v>0</v>
      </c>
      <c r="M353" s="169"/>
      <c r="N353" s="169">
        <f ca="1">IFERROR(__xludf.DUMMYFUNCTION("IMPORTRANGE(""https://docs.google.com/spreadsheets/d/1XL5vhW3sbDhbH9Cz0tuDiY8C3ctxq1tqvaCgkFb8cCA/edit?usp=sharing"",""อุดรธานี!M248"")"),0)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IFERROR(__xludf.DUMMYFUNCTION("IMPORTRANGE(""https://docs.google.com/spreadsheets/d/1XL5vhW3sbDhbH9Cz0tuDiY8C3ctxq1tqvaCgkFb8cCA/edit?usp=sharing"",""อุดรธานี!L249"")"),1007200)</f>
        <v>1007200</v>
      </c>
      <c r="M354" s="169"/>
      <c r="N354" s="168">
        <f ca="1">IFERROR(__xludf.DUMMYFUNCTION("IMPORTRANGE(""https://docs.google.com/spreadsheets/d/1XL5vhW3sbDhbH9Cz0tuDiY8C3ctxq1tqvaCgkFb8cCA/edit?usp=sharing"",""อุดรธานี!M249"")"),219973.7)</f>
        <v>219973.7</v>
      </c>
      <c r="O354" s="169">
        <f t="shared" ca="1" si="105"/>
        <v>21.840121127879268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IFERROR(__xludf.DUMMYFUNCTION("IMPORTRANGE(""https://docs.google.com/spreadsheets/d/1XL5vhW3sbDhbH9Cz0tuDiY8C3ctxq1tqvaCgkFb8cCA/edit?usp=sharing"",""อุดรธานี!M250"")"),137430)</f>
        <v>137430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IFERROR(__xludf.DUMMYFUNCTION("IMPORTRANGE(""https://docs.google.com/spreadsheets/d/1XL5vhW3sbDhbH9Cz0tuDiY8C3ctxq1tqvaCgkFb8cCA/edit?usp=sharing"",""อุดรธานี!M251"")"),0)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IFERROR(__xludf.DUMMYFUNCTION("IMPORTRANGE(""https://docs.google.com/spreadsheets/d/1XL5vhW3sbDhbH9Cz0tuDiY8C3ctxq1tqvaCgkFb8cCA/edit?usp=sharing"",""อุดรธานี!M252"")"),70838.7)</f>
        <v>70838.7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IFERROR(__xludf.DUMMYFUNCTION("IMPORTRANGE(""https://docs.google.com/spreadsheets/d/1XL5vhW3sbDhbH9Cz0tuDiY8C3ctxq1tqvaCgkFb8cCA/edit?usp=sharing"",""อุดรธานี!M253"")"),11705)</f>
        <v>11705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IFERROR(__xludf.DUMMYFUNCTION("IMPORTRANGE(""https://docs.google.com/spreadsheets/d/1XL5vhW3sbDhbH9Cz0tuDiY8C3ctxq1tqvaCgkFb8cCA/edit?usp=sharing"",""อุดรธานี!J255"")"),0)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IFERROR(__xludf.DUMMYFUNCTION("IMPORTRANGE(""https://docs.google.com/spreadsheets/d/1XL5vhW3sbDhbH9Cz0tuDiY8C3ctxq1tqvaCgkFb8cCA/edit?usp=sharing"",""อุดรธานี!J256"")"),1)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IFERROR(__xludf.DUMMYFUNCTION("IMPORTRANGE(""https://docs.google.com/spreadsheets/d/1XL5vhW3sbDhbH9Cz0tuDiY8C3ctxq1tqvaCgkFb8cCA/edit?usp=sharing"",""อุดรธานี!J257"")"),1)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IFERROR(__xludf.DUMMYFUNCTION("IMPORTRANGE(""https://docs.google.com/spreadsheets/d/1XL5vhW3sbDhbH9Cz0tuDiY8C3ctxq1tqvaCgkFb8cCA/edit?usp=sharing"",""อุดรธานี!J258"")"),1)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IFERROR(__xludf.DUMMYFUNCTION("IMPORTRANGE(""https://docs.google.com/spreadsheets/d/1XL5vhW3sbDhbH9Cz0tuDiY8C3ctxq1tqvaCgkFb8cCA/edit?usp=sharing"",""อุดรธานี!J166"")"),0)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IFERROR(__xludf.DUMMYFUNCTION("IMPORTRANGE(""https://docs.google.com/spreadsheets/d/1XL5vhW3sbDhbH9Cz0tuDiY8C3ctxq1tqvaCgkFb8cCA/edit?usp=sharing"",""อุดรธานี!J166"")"),0)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IFERROR(__xludf.DUMMYFUNCTION("IMPORTRANGE(""https://docs.google.com/spreadsheets/d/1XL5vhW3sbDhbH9Cz0tuDiY8C3ctxq1tqvaCgkFb8cCA/edit?usp=sharing"",""อุดรธานี!J166"")"),0)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IFERROR(__xludf.DUMMYFUNCTION("IMPORTRANGE(""https://docs.google.com/spreadsheets/d/1XL5vhW3sbDhbH9Cz0tuDiY8C3ctxq1tqvaCgkFb8cCA/edit?usp=sharing"",""อุดรธานี!J166"")"),0)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IFERROR(__xludf.DUMMYFUNCTION("IMPORTRANGE(""https://docs.google.com/spreadsheets/d/1XL5vhW3sbDhbH9Cz0tuDiY8C3ctxq1tqvaCgkFb8cCA/edit?usp=sharing"",""อุดรธานี!I263"")"),140)</f>
        <v>140</v>
      </c>
      <c r="J368" s="188">
        <f ca="1">IFERROR(__xludf.DUMMYFUNCTION("IMPORTRANGE(""https://docs.google.com/spreadsheets/d/1XL5vhW3sbDhbH9Cz0tuDiY8C3ctxq1tqvaCgkFb8cCA/edit?usp=sharing"",""อุดรธานี!J263"")"),140)</f>
        <v>140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IFERROR(__xludf.DUMMYFUNCTION("IMPORTRANGE(""https://docs.google.com/spreadsheets/d/1XL5vhW3sbDhbH9Cz0tuDiY8C3ctxq1tqvaCgkFb8cCA/edit?usp=sharing"",""อุดรธานี!I164"")"),0)</f>
        <v>0</v>
      </c>
      <c r="J369" s="204">
        <f ca="1">IFERROR(__xludf.DUMMYFUNCTION("IMPORTRANGE(""https://docs.google.com/spreadsheets/d/1XL5vhW3sbDhbH9Cz0tuDiY8C3ctxq1tqvaCgkFb8cCA/edit?usp=sharing"",""อุดรธานี!J164"")"),0)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293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IFERROR(__xludf.DUMMYFUNCTION("IMPORTRANGE(""https://docs.google.com/spreadsheets/d/1XL5vhW3sbDhbH9Cz0tuDiY8C3ctxq1tqvaCgkFb8cCA/edit?usp=sharing"",""อุดรธานี!I265"")"),140)</f>
        <v>140</v>
      </c>
      <c r="J370" s="204">
        <f ca="1">IFERROR(__xludf.DUMMYFUNCTION("IMPORTRANGE(""https://docs.google.com/spreadsheets/d/1XL5vhW3sbDhbH9Cz0tuDiY8C3ctxq1tqvaCgkFb8cCA/edit?usp=sharing"",""อุดรธานี!J265"")"),140)</f>
        <v>140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IFERROR(__xludf.DUMMYFUNCTION("IMPORTRANGE(""https://docs.google.com/spreadsheets/d/1XL5vhW3sbDhbH9Cz0tuDiY8C3ctxq1tqvaCgkFb8cCA/edit?usp=sharing"",""อุดรธานี!I164"")"),0)</f>
        <v>0</v>
      </c>
      <c r="J371" s="189">
        <f ca="1">IFERROR(__xludf.DUMMYFUNCTION("IMPORTRANGE(""https://docs.google.com/spreadsheets/d/1XL5vhW3sbDhbH9Cz0tuDiY8C3ctxq1tqvaCgkFb8cCA/edit?usp=sharing"",""อุดรธานี!J164"")"),0)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293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IFERROR(__xludf.DUMMYFUNCTION("IMPORTRANGE(""https://docs.google.com/spreadsheets/d/1XL5vhW3sbDhbH9Cz0tuDiY8C3ctxq1tqvaCgkFb8cCA/edit?usp=sharing"",""อุดรธานี!I267"")"),140)</f>
        <v>140</v>
      </c>
      <c r="J372" s="189">
        <f ca="1">IFERROR(__xludf.DUMMYFUNCTION("IMPORTRANGE(""https://docs.google.com/spreadsheets/d/1XL5vhW3sbDhbH9Cz0tuDiY8C3ctxq1tqvaCgkFb8cCA/edit?usp=sharing"",""อุดรธานี!J267"")"),140)</f>
        <v>140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IFERROR(__xludf.DUMMYFUNCTION("IMPORTRANGE(""https://docs.google.com/spreadsheets/d/1XL5vhW3sbDhbH9Cz0tuDiY8C3ctxq1tqvaCgkFb8cCA/edit?usp=sharing"",""อุดรธานี!I164"")"),0)</f>
        <v>0</v>
      </c>
      <c r="J373" s="204">
        <f ca="1">IFERROR(__xludf.DUMMYFUNCTION("IMPORTRANGE(""https://docs.google.com/spreadsheets/d/1XL5vhW3sbDhbH9Cz0tuDiY8C3ctxq1tqvaCgkFb8cCA/edit?usp=sharing"",""อุดรธานี!J164"")"),0)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IFERROR(__xludf.DUMMYFUNCTION("IMPORTRANGE(""https://docs.google.com/spreadsheets/d/1XL5vhW3sbDhbH9Cz0tuDiY8C3ctxq1tqvaCgkFb8cCA/edit?usp=sharing"",""อุดรธานี!I164"")"),0)</f>
        <v>0</v>
      </c>
      <c r="J374" s="188">
        <f ca="1">IFERROR(__xludf.DUMMYFUNCTION("IMPORTRANGE(""https://docs.google.com/spreadsheets/d/1XL5vhW3sbDhbH9Cz0tuDiY8C3ctxq1tqvaCgkFb8cCA/edit?usp=sharing"",""อุดรธานี!J164"")"),0)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IFERROR(__xludf.DUMMYFUNCTION("IMPORTRANGE(""https://docs.google.com/spreadsheets/d/1XL5vhW3sbDhbH9Cz0tuDiY8C3ctxq1tqvaCgkFb8cCA/edit?usp=sharing"",""อุดรธานี!I270"")"),662)</f>
        <v>662</v>
      </c>
      <c r="J375" s="188">
        <f ca="1">IFERROR(__xludf.DUMMYFUNCTION("IMPORTRANGE(""https://docs.google.com/spreadsheets/d/1XL5vhW3sbDhbH9Cz0tuDiY8C3ctxq1tqvaCgkFb8cCA/edit?usp=sharing"",""อุดรธานี!J270"")"),0)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IFERROR(__xludf.DUMMYFUNCTION("IMPORTRANGE(""https://docs.google.com/spreadsheets/d/1XL5vhW3sbDhbH9Cz0tuDiY8C3ctxq1tqvaCgkFb8cCA/edit?usp=sharing"",""อุดรธานี!I271"")"),500)</f>
        <v>500</v>
      </c>
      <c r="J376" s="189">
        <f ca="1">IFERROR(__xludf.DUMMYFUNCTION("IMPORTRANGE(""https://docs.google.com/spreadsheets/d/1XL5vhW3sbDhbH9Cz0tuDiY8C3ctxq1tqvaCgkFb8cCA/edit?usp=sharing"",""อุดรธานี!J271"")"),0)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IFERROR(__xludf.DUMMYFUNCTION("IMPORTRANGE(""https://docs.google.com/spreadsheets/d/1XL5vhW3sbDhbH9Cz0tuDiY8C3ctxq1tqvaCgkFb8cCA/edit?usp=sharing"",""อุดรธานี!I272"")"),162)</f>
        <v>162</v>
      </c>
      <c r="J377" s="204">
        <f ca="1">IFERROR(__xludf.DUMMYFUNCTION("IMPORTRANGE(""https://docs.google.com/spreadsheets/d/1XL5vhW3sbDhbH9Cz0tuDiY8C3ctxq1tqvaCgkFb8cCA/edit?usp=sharing"",""อุดรธานี!J272"")"),0)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IFERROR(__xludf.DUMMYFUNCTION("IMPORTRANGE(""https://docs.google.com/spreadsheets/d/1XL5vhW3sbDhbH9Cz0tuDiY8C3ctxq1tqvaCgkFb8cCA/edit?usp=sharing"",""อุดรธานี!J273"")"),0)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IFERROR(__xludf.DUMMYFUNCTION("IMPORTRANGE(""https://docs.google.com/spreadsheets/d/1XL5vhW3sbDhbH9Cz0tuDiY8C3ctxq1tqvaCgkFb8cCA/edit?usp=sharing"",""อุดรธานี!J274"")"),0)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IFERROR(__xludf.DUMMYFUNCTION("IMPORTRANGE(""https://docs.google.com/spreadsheets/d/1XL5vhW3sbDhbH9Cz0tuDiY8C3ctxq1tqvaCgkFb8cCA/edit?usp=sharing"",""อุดรธานี!I275"")"),1000)</f>
        <v>1000</v>
      </c>
      <c r="J380" s="371">
        <f ca="1">IFERROR(__xludf.DUMMYFUNCTION("IMPORTRANGE(""https://docs.google.com/spreadsheets/d/1XL5vhW3sbDhbH9Cz0tuDiY8C3ctxq1tqvaCgkFb8cCA/edit?usp=sharing"",""อุดรธานี!J275"")"),0)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IFERROR(__xludf.DUMMYFUNCTION("IMPORTRANGE(""https://docs.google.com/spreadsheets/d/1XL5vhW3sbDhbH9Cz0tuDiY8C3ctxq1tqvaCgkFb8cCA/edit?usp=sharing"",""อุดรธานี!L275"")"),1028520)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IFERROR(__xludf.DUMMYFUNCTION("IMPORTRANGE(""https://docs.google.com/spreadsheets/d/1XL5vhW3sbDhbH9Cz0tuDiY8C3ctxq1tqvaCgkFb8cCA/edit?usp=sharing"",""อุดรธานี!M275"")"),158531.9)</f>
        <v>158531.9</v>
      </c>
      <c r="O380" s="373">
        <f ca="1">+IF(L380&gt;0,N380*100/L380,0)</f>
        <v>15.413594290825653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IFERROR(__xludf.DUMMYFUNCTION("IMPORTRANGE(""https://docs.google.com/spreadsheets/d/1XL5vhW3sbDhbH9Cz0tuDiY8C3ctxq1tqvaCgkFb8cCA/edit?usp=sharing"",""อุดรธานี!I276"")"),100)</f>
        <v>100</v>
      </c>
      <c r="J381" s="371">
        <f ca="1">IFERROR(__xludf.DUMMYFUNCTION("IMPORTRANGE(""https://docs.google.com/spreadsheets/d/1XL5vhW3sbDhbH9Cz0tuDiY8C3ctxq1tqvaCgkFb8cCA/edit?usp=sharing"",""อุดรธานี!J276"")"),100)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IFERROR(__xludf.DUMMYFUNCTION("IMPORTRANGE(""https://docs.google.com/spreadsheets/d/1XL5vhW3sbDhbH9Cz0tuDiY8C3ctxq1tqvaCgkFb8cCA/edit?usp=sharing"",""อุดรธานี!L277"")"),0)</f>
        <v>0</v>
      </c>
      <c r="M382" s="164"/>
      <c r="N382" s="164">
        <f ca="1">IFERROR(__xludf.DUMMYFUNCTION("IMPORTRANGE(""https://docs.google.com/spreadsheets/d/1XL5vhW3sbDhbH9Cz0tuDiY8C3ctxq1tqvaCgkFb8cCA/edit?usp=sharing"",""อุดรธานี!M277"")"),0)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IFERROR(__xludf.DUMMYFUNCTION("IMPORTRANGE(""https://docs.google.com/spreadsheets/d/1XL5vhW3sbDhbH9Cz0tuDiY8C3ctxq1tqvaCgkFb8cCA/edit?usp=sharing"",""อุดรธานี!L278"")"),1028520)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IFERROR(__xludf.DUMMYFUNCTION("IMPORTRANGE(""https://docs.google.com/spreadsheets/d/1XL5vhW3sbDhbH9Cz0tuDiY8C3ctxq1tqvaCgkFb8cCA/edit?usp=sharing"",""อุดรธานี!M278"")"),158531.9)</f>
        <v>158531.9</v>
      </c>
      <c r="O383" s="165">
        <f t="shared" ca="1" si="109"/>
        <v>15.413594290825653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IFERROR(__xludf.DUMMYFUNCTION("IMPORTRANGE(""https://docs.google.com/spreadsheets/d/1XL5vhW3sbDhbH9Cz0tuDiY8C3ctxq1tqvaCgkFb8cCA/edit?usp=sharing"",""อุดรธานี!L279"")"),0)</f>
        <v>0</v>
      </c>
      <c r="M384" s="169"/>
      <c r="N384" s="169">
        <f ca="1">IFERROR(__xludf.DUMMYFUNCTION("IMPORTRANGE(""https://docs.google.com/spreadsheets/d/1XL5vhW3sbDhbH9Cz0tuDiY8C3ctxq1tqvaCgkFb8cCA/edit?usp=sharing"",""อุดรธานี!M279"")"),0)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IFERROR(__xludf.DUMMYFUNCTION("IMPORTRANGE(""https://docs.google.com/spreadsheets/d/1XL5vhW3sbDhbH9Cz0tuDiY8C3ctxq1tqvaCgkFb8cCA/edit?usp=sharing"",""อุดรธานี!L280"")"),1028520)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IFERROR(__xludf.DUMMYFUNCTION("IMPORTRANGE(""https://docs.google.com/spreadsheets/d/1XL5vhW3sbDhbH9Cz0tuDiY8C3ctxq1tqvaCgkFb8cCA/edit?usp=sharing"",""อุดรธานี!M280"")"),158531.9)</f>
        <v>158531.9</v>
      </c>
      <c r="O385" s="169">
        <f t="shared" ca="1" si="109"/>
        <v>15.413594290825653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IFERROR(__xludf.DUMMYFUNCTION("IMPORTRANGE(""https://docs.google.com/spreadsheets/d/1XL5vhW3sbDhbH9Cz0tuDiY8C3ctxq1tqvaCgkFb8cCA/edit?usp=sharing"",""อุดรธานี!M281"")"),84111)</f>
        <v>84111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IFERROR(__xludf.DUMMYFUNCTION("IMPORTRANGE(""https://docs.google.com/spreadsheets/d/1XL5vhW3sbDhbH9Cz0tuDiY8C3ctxq1tqvaCgkFb8cCA/edit?usp=sharing"",""อุดรธานี!M282"")"),0)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IFERROR(__xludf.DUMMYFUNCTION("IMPORTRANGE(""https://docs.google.com/spreadsheets/d/1XL5vhW3sbDhbH9Cz0tuDiY8C3ctxq1tqvaCgkFb8cCA/edit?usp=sharing"",""อุดรธานี!M283"")"),63756.9)</f>
        <v>63756.9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IFERROR(__xludf.DUMMYFUNCTION("IMPORTRANGE(""https://docs.google.com/spreadsheets/d/1XL5vhW3sbDhbH9Cz0tuDiY8C3ctxq1tqvaCgkFb8cCA/edit?usp=sharing"",""อุดรธานี!M284"")"),10664)</f>
        <v>10664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IFERROR(__xludf.DUMMYFUNCTION("IMPORTRANGE(""https://docs.google.com/spreadsheets/d/1XL5vhW3sbDhbH9Cz0tuDiY8C3ctxq1tqvaCgkFb8cCA/edit?usp=sharing"",""อุดรธานี!J286"")"),0)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IFERROR(__xludf.DUMMYFUNCTION("IMPORTRANGE(""https://docs.google.com/spreadsheets/d/1XL5vhW3sbDhbH9Cz0tuDiY8C3ctxq1tqvaCgkFb8cCA/edit?usp=sharing"",""อุดรธานี!J287"")"),1)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IFERROR(__xludf.DUMMYFUNCTION("IMPORTRANGE(""https://docs.google.com/spreadsheets/d/1XL5vhW3sbDhbH9Cz0tuDiY8C3ctxq1tqvaCgkFb8cCA/edit?usp=sharing"",""อุดรธานี!J288"")"),1)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IFERROR(__xludf.DUMMYFUNCTION("IMPORTRANGE(""https://docs.google.com/spreadsheets/d/1XL5vhW3sbDhbH9Cz0tuDiY8C3ctxq1tqvaCgkFb8cCA/edit?usp=sharing"",""อุดรธานี!J289"")"),1)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IFERROR(__xludf.DUMMYFUNCTION("IMPORTRANGE(""https://docs.google.com/spreadsheets/d/1XL5vhW3sbDhbH9Cz0tuDiY8C3ctxq1tqvaCgkFb8cCA/edit?usp=sharing"",""อุดรธานี!I291"")"),100)</f>
        <v>100</v>
      </c>
      <c r="J396" s="198">
        <f ca="1">IFERROR(__xludf.DUMMYFUNCTION("IMPORTRANGE(""https://docs.google.com/spreadsheets/d/1XL5vhW3sbDhbH9Cz0tuDiY8C3ctxq1tqvaCgkFb8cCA/edit?usp=sharing"",""อุดรธานี!J291"")"),100)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IFERROR(__xludf.DUMMYFUNCTION("IMPORTRANGE(""https://docs.google.com/spreadsheets/d/1XL5vhW3sbDhbH9Cz0tuDiY8C3ctxq1tqvaCgkFb8cCA/edit?usp=sharing"",""อุดรธานี!I292"")"),1000)</f>
        <v>1000</v>
      </c>
      <c r="J397" s="198">
        <f ca="1">IFERROR(__xludf.DUMMYFUNCTION("IMPORTRANGE(""https://docs.google.com/spreadsheets/d/1XL5vhW3sbDhbH9Cz0tuDiY8C3ctxq1tqvaCgkFb8cCA/edit?usp=sharing"",""อุดรธานี!J292"")"),0)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IFERROR(__xludf.DUMMYFUNCTION("IMPORTRANGE(""https://docs.google.com/spreadsheets/d/1XL5vhW3sbDhbH9Cz0tuDiY8C3ctxq1tqvaCgkFb8cCA/edit?usp=sharing"",""อุดรธานี!I293"")"),100)</f>
        <v>100</v>
      </c>
      <c r="J398" s="198">
        <f ca="1">IFERROR(__xludf.DUMMYFUNCTION("IMPORTRANGE(""https://docs.google.com/spreadsheets/d/1XL5vhW3sbDhbH9Cz0tuDiY8C3ctxq1tqvaCgkFb8cCA/edit?usp=sharing"",""อุดรธานี!J293"")"),0)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IFERROR(__xludf.DUMMYFUNCTION("IMPORTRANGE(""https://docs.google.com/spreadsheets/d/1XL5vhW3sbDhbH9Cz0tuDiY8C3ctxq1tqvaCgkFb8cCA/edit?usp=sharing"",""อุดรธานี!J294"")"),0)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IFERROR(__xludf.DUMMYFUNCTION("IMPORTRANGE(""https://docs.google.com/spreadsheets/d/1XL5vhW3sbDhbH9Cz0tuDiY8C3ctxq1tqvaCgkFb8cCA/edit?usp=sharing"",""อุดรธานี!J295"")"),0)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IFERROR(__xludf.DUMMYFUNCTION("IMPORTRANGE(""https://docs.google.com/spreadsheets/d/1XL5vhW3sbDhbH9Cz0tuDiY8C3ctxq1tqvaCgkFb8cCA/edit?usp=sharing"",""อุดรธานี!I296"")"),174)</f>
        <v>174</v>
      </c>
      <c r="J401" s="371">
        <f ca="1">IFERROR(__xludf.DUMMYFUNCTION("IMPORTRANGE(""https://docs.google.com/spreadsheets/d/1XL5vhW3sbDhbH9Cz0tuDiY8C3ctxq1tqvaCgkFb8cCA/edit?usp=sharing"",""อุดรธานี!J296"")"),174)</f>
        <v>174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IFERROR(__xludf.DUMMYFUNCTION("IMPORTRANGE(""https://docs.google.com/spreadsheets/d/1XL5vhW3sbDhbH9Cz0tuDiY8C3ctxq1tqvaCgkFb8cCA/edit?usp=sharing"",""อุดรธานี!L296"")"),195900)</f>
        <v>195900</v>
      </c>
      <c r="M401" s="373"/>
      <c r="N401" s="373">
        <f ca="1">IFERROR(__xludf.DUMMYFUNCTION("IMPORTRANGE(""https://docs.google.com/spreadsheets/d/1XL5vhW3sbDhbH9Cz0tuDiY8C3ctxq1tqvaCgkFb8cCA/edit?usp=sharing"",""อุดรธานี!M296"")"),161596)</f>
        <v>161596</v>
      </c>
      <c r="O401" s="373">
        <f ca="1">+IF(L401&gt;0,N401*100/L401,0)</f>
        <v>82.489025012761616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IFERROR(__xludf.DUMMYFUNCTION("IMPORTRANGE(""https://docs.google.com/spreadsheets/d/1XL5vhW3sbDhbH9Cz0tuDiY8C3ctxq1tqvaCgkFb8cCA/edit?usp=sharing"",""อุดรธานี!I297"")"),58)</f>
        <v>58</v>
      </c>
      <c r="J402" s="371">
        <f ca="1">IFERROR(__xludf.DUMMYFUNCTION("IMPORTRANGE(""https://docs.google.com/spreadsheets/d/1XL5vhW3sbDhbH9Cz0tuDiY8C3ctxq1tqvaCgkFb8cCA/edit?usp=sharing"",""อุดรธานี!J297"")"),58)</f>
        <v>58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IFERROR(__xludf.DUMMYFUNCTION("IMPORTRANGE(""https://docs.google.com/spreadsheets/d/1XL5vhW3sbDhbH9Cz0tuDiY8C3ctxq1tqvaCgkFb8cCA/edit?usp=sharing"",""อุดรธานี!L298"")"),0)</f>
        <v>0</v>
      </c>
      <c r="M403" s="164"/>
      <c r="N403" s="169">
        <f ca="1">IFERROR(__xludf.DUMMYFUNCTION("IMPORTRANGE(""https://docs.google.com/spreadsheets/d/1XL5vhW3sbDhbH9Cz0tuDiY8C3ctxq1tqvaCgkFb8cCA/edit?usp=sharing"",""อุดรธานี!M298"")"),0)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IFERROR(__xludf.DUMMYFUNCTION("IMPORTRANGE(""https://docs.google.com/spreadsheets/d/1XL5vhW3sbDhbH9Cz0tuDiY8C3ctxq1tqvaCgkFb8cCA/edit?usp=sharing"",""อุดรธานี!L299"")"),195900)</f>
        <v>195900</v>
      </c>
      <c r="M404" s="165"/>
      <c r="N404" s="169">
        <f ca="1">IFERROR(__xludf.DUMMYFUNCTION("IMPORTRANGE(""https://docs.google.com/spreadsheets/d/1XL5vhW3sbDhbH9Cz0tuDiY8C3ctxq1tqvaCgkFb8cCA/edit?usp=sharing"",""อุดรธานี!M299"")"),161596)</f>
        <v>161596</v>
      </c>
      <c r="O404" s="169">
        <f t="shared" ca="1" si="112"/>
        <v>82.489025012761616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IFERROR(__xludf.DUMMYFUNCTION("IMPORTRANGE(""https://docs.google.com/spreadsheets/d/1XL5vhW3sbDhbH9Cz0tuDiY8C3ctxq1tqvaCgkFb8cCA/edit?usp=sharing"",""อุดรธานี!L300"")"),0)</f>
        <v>0</v>
      </c>
      <c r="M405" s="169"/>
      <c r="N405" s="169">
        <f ca="1">IFERROR(__xludf.DUMMYFUNCTION("IMPORTRANGE(""https://docs.google.com/spreadsheets/d/1XL5vhW3sbDhbH9Cz0tuDiY8C3ctxq1tqvaCgkFb8cCA/edit?usp=sharing"",""อุดรธานี!M300"")"),0)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IFERROR(__xludf.DUMMYFUNCTION("IMPORTRANGE(""https://docs.google.com/spreadsheets/d/1XL5vhW3sbDhbH9Cz0tuDiY8C3ctxq1tqvaCgkFb8cCA/edit?usp=sharing"",""อุดรธานี!L301"")"),195900)</f>
        <v>195900</v>
      </c>
      <c r="M406" s="169"/>
      <c r="N406" s="169">
        <f ca="1">IFERROR(__xludf.DUMMYFUNCTION("IMPORTRANGE(""https://docs.google.com/spreadsheets/d/1XL5vhW3sbDhbH9Cz0tuDiY8C3ctxq1tqvaCgkFb8cCA/edit?usp=sharing"",""อุดรธานี!M301"")"),161596)</f>
        <v>161596</v>
      </c>
      <c r="O406" s="169">
        <f t="shared" ca="1" si="112"/>
        <v>82.489025012761616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IFERROR(__xludf.DUMMYFUNCTION("IMPORTRANGE(""https://docs.google.com/spreadsheets/d/1XL5vhW3sbDhbH9Cz0tuDiY8C3ctxq1tqvaCgkFb8cCA/edit?usp=sharing"",""อุดรธานี!M302"")"),104376)</f>
        <v>104376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IFERROR(__xludf.DUMMYFUNCTION("IMPORTRANGE(""https://docs.google.com/spreadsheets/d/1XL5vhW3sbDhbH9Cz0tuDiY8C3ctxq1tqvaCgkFb8cCA/edit?usp=sharing"",""อุดรธานี!M303"")"),41600)</f>
        <v>41600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IFERROR(__xludf.DUMMYFUNCTION("IMPORTRANGE(""https://docs.google.com/spreadsheets/d/1XL5vhW3sbDhbH9Cz0tuDiY8C3ctxq1tqvaCgkFb8cCA/edit?usp=sharing"",""อุดรธานี!M304"")"),0)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IFERROR(__xludf.DUMMYFUNCTION("IMPORTRANGE(""https://docs.google.com/spreadsheets/d/1XL5vhW3sbDhbH9Cz0tuDiY8C3ctxq1tqvaCgkFb8cCA/edit?usp=sharing"",""อุดรธานี!M305"")"),15620)</f>
        <v>15620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IFERROR(__xludf.DUMMYFUNCTION("IMPORTRANGE(""https://docs.google.com/spreadsheets/d/1XL5vhW3sbDhbH9Cz0tuDiY8C3ctxq1tqvaCgkFb8cCA/edit?usp=sharing"",""อุดรธานี!J307"")"),0)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IFERROR(__xludf.DUMMYFUNCTION("IMPORTRANGE(""https://docs.google.com/spreadsheets/d/1XL5vhW3sbDhbH9Cz0tuDiY8C3ctxq1tqvaCgkFb8cCA/edit?usp=sharing"",""อุดรธานี!J308"")"),1)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IFERROR(__xludf.DUMMYFUNCTION("IMPORTRANGE(""https://docs.google.com/spreadsheets/d/1XL5vhW3sbDhbH9Cz0tuDiY8C3ctxq1tqvaCgkFb8cCA/edit?usp=sharing"",""อุดรธานี!J309"")"),1)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IFERROR(__xludf.DUMMYFUNCTION("IMPORTRANGE(""https://docs.google.com/spreadsheets/d/1XL5vhW3sbDhbH9Cz0tuDiY8C3ctxq1tqvaCgkFb8cCA/edit?usp=sharing"",""อุดรธานี!J310"")"),0)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IFERROR(__xludf.DUMMYFUNCTION("IMPORTRANGE(""https://docs.google.com/spreadsheets/d/1XL5vhW3sbDhbH9Cz0tuDiY8C3ctxq1tqvaCgkFb8cCA/edit?usp=sharing"",""อุดรธานี!I311"")"),58)</f>
        <v>58</v>
      </c>
      <c r="J416" s="201">
        <f ca="1">IFERROR(__xludf.DUMMYFUNCTION("IMPORTRANGE(""https://docs.google.com/spreadsheets/d/1XL5vhW3sbDhbH9Cz0tuDiY8C3ctxq1tqvaCgkFb8cCA/edit?usp=sharing"",""อุดรธานี!J311"")"),58)</f>
        <v>58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IFERROR(__xludf.DUMMYFUNCTION("IMPORTRANGE(""https://docs.google.com/spreadsheets/d/1XL5vhW3sbDhbH9Cz0tuDiY8C3ctxq1tqvaCgkFb8cCA/edit?usp=sharing"",""อุดรธานี!I312"")"),10)</f>
        <v>10</v>
      </c>
      <c r="J417" s="392">
        <f ca="1">IFERROR(__xludf.DUMMYFUNCTION("IMPORTRANGE(""https://docs.google.com/spreadsheets/d/1XL5vhW3sbDhbH9Cz0tuDiY8C3ctxq1tqvaCgkFb8cCA/edit?usp=sharing"",""อุดรธานี!J312"")"),10)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IFERROR(__xludf.DUMMYFUNCTION("IMPORTRANGE(""https://docs.google.com/spreadsheets/d/1XL5vhW3sbDhbH9Cz0tuDiY8C3ctxq1tqvaCgkFb8cCA/edit?usp=sharing"",""อุดรธานี!I313"")"),30)</f>
        <v>30</v>
      </c>
      <c r="J418" s="393">
        <f ca="1">IFERROR(__xludf.DUMMYFUNCTION("IMPORTRANGE(""https://docs.google.com/spreadsheets/d/1XL5vhW3sbDhbH9Cz0tuDiY8C3ctxq1tqvaCgkFb8cCA/edit?usp=sharing"",""อุดรธานี!J313"")"),30)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IFERROR(__xludf.DUMMYFUNCTION("IMPORTRANGE(""https://docs.google.com/spreadsheets/d/1XL5vhW3sbDhbH9Cz0tuDiY8C3ctxq1tqvaCgkFb8cCA/edit?usp=sharing"",""อุดรธานี!I314"")"),10)</f>
        <v>10</v>
      </c>
      <c r="J419" s="394">
        <f ca="1">IFERROR(__xludf.DUMMYFUNCTION("IMPORTRANGE(""https://docs.google.com/spreadsheets/d/1XL5vhW3sbDhbH9Cz0tuDiY8C3ctxq1tqvaCgkFb8cCA/edit?usp=sharing"",""อุดรธานี!J314"")"),10)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IFERROR(__xludf.DUMMYFUNCTION("IMPORTRANGE(""https://docs.google.com/spreadsheets/d/1XL5vhW3sbDhbH9Cz0tuDiY8C3ctxq1tqvaCgkFb8cCA/edit?usp=sharing"",""อุดรธานี!I315"")"),10)</f>
        <v>10</v>
      </c>
      <c r="J420" s="394">
        <f ca="1">IFERROR(__xludf.DUMMYFUNCTION("IMPORTRANGE(""https://docs.google.com/spreadsheets/d/1XL5vhW3sbDhbH9Cz0tuDiY8C3ctxq1tqvaCgkFb8cCA/edit?usp=sharing"",""อุดรธานี!J315"")"),10)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IFERROR(__xludf.DUMMYFUNCTION("IMPORTRANGE(""https://docs.google.com/spreadsheets/d/1XL5vhW3sbDhbH9Cz0tuDiY8C3ctxq1tqvaCgkFb8cCA/edit?usp=sharing"",""อุดรธานี!I316"")"),38)</f>
        <v>38</v>
      </c>
      <c r="J421" s="392">
        <f ca="1">IFERROR(__xludf.DUMMYFUNCTION("IMPORTRANGE(""https://docs.google.com/spreadsheets/d/1XL5vhW3sbDhbH9Cz0tuDiY8C3ctxq1tqvaCgkFb8cCA/edit?usp=sharing"",""อุดรธานี!J316"")"),38)</f>
        <v>38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IFERROR(__xludf.DUMMYFUNCTION("IMPORTRANGE(""https://docs.google.com/spreadsheets/d/1XL5vhW3sbDhbH9Cz0tuDiY8C3ctxq1tqvaCgkFb8cCA/edit?usp=sharing"",""อุดรธานี!I317"")"),114)</f>
        <v>114</v>
      </c>
      <c r="J422" s="393">
        <f ca="1">IFERROR(__xludf.DUMMYFUNCTION("IMPORTRANGE(""https://docs.google.com/spreadsheets/d/1XL5vhW3sbDhbH9Cz0tuDiY8C3ctxq1tqvaCgkFb8cCA/edit?usp=sharing"",""อุดรธานี!J317"")"),114)</f>
        <v>114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IFERROR(__xludf.DUMMYFUNCTION("IMPORTRANGE(""https://docs.google.com/spreadsheets/d/1XL5vhW3sbDhbH9Cz0tuDiY8C3ctxq1tqvaCgkFb8cCA/edit?usp=sharing"",""อุดรธานี!I318"")"),38)</f>
        <v>38</v>
      </c>
      <c r="J423" s="394">
        <f ca="1">IFERROR(__xludf.DUMMYFUNCTION("IMPORTRANGE(""https://docs.google.com/spreadsheets/d/1XL5vhW3sbDhbH9Cz0tuDiY8C3ctxq1tqvaCgkFb8cCA/edit?usp=sharing"",""อุดรธานี!J318"")"),38)</f>
        <v>38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IFERROR(__xludf.DUMMYFUNCTION("IMPORTRANGE(""https://docs.google.com/spreadsheets/d/1XL5vhW3sbDhbH9Cz0tuDiY8C3ctxq1tqvaCgkFb8cCA/edit?usp=sharing"",""อุดรธานี!I319"")"),38)</f>
        <v>38</v>
      </c>
      <c r="J424" s="394">
        <f ca="1">IFERROR(__xludf.DUMMYFUNCTION("IMPORTRANGE(""https://docs.google.com/spreadsheets/d/1XL5vhW3sbDhbH9Cz0tuDiY8C3ctxq1tqvaCgkFb8cCA/edit?usp=sharing"",""อุดรธานี!J319"")"),38)</f>
        <v>38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IFERROR(__xludf.DUMMYFUNCTION("IMPORTRANGE(""https://docs.google.com/spreadsheets/d/1XL5vhW3sbDhbH9Cz0tuDiY8C3ctxq1tqvaCgkFb8cCA/edit?usp=sharing"",""อุดรธานี!I320"")"),38)</f>
        <v>38</v>
      </c>
      <c r="J425" s="394">
        <f ca="1">IFERROR(__xludf.DUMMYFUNCTION("IMPORTRANGE(""https://docs.google.com/spreadsheets/d/1XL5vhW3sbDhbH9Cz0tuDiY8C3ctxq1tqvaCgkFb8cCA/edit?usp=sharing"",""อุดรธานี!J320"")"),38)</f>
        <v>38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IFERROR(__xludf.DUMMYFUNCTION("IMPORTRANGE(""https://docs.google.com/spreadsheets/d/1XL5vhW3sbDhbH9Cz0tuDiY8C3ctxq1tqvaCgkFb8cCA/edit?usp=sharing"",""อุดรธานี!I321"")"),10)</f>
        <v>10</v>
      </c>
      <c r="J426" s="392">
        <f ca="1">IFERROR(__xludf.DUMMYFUNCTION("IMPORTRANGE(""https://docs.google.com/spreadsheets/d/1XL5vhW3sbDhbH9Cz0tuDiY8C3ctxq1tqvaCgkFb8cCA/edit?usp=sharing"",""อุดรธานี!J321"")"),10)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IFERROR(__xludf.DUMMYFUNCTION("IMPORTRANGE(""https://docs.google.com/spreadsheets/d/1XL5vhW3sbDhbH9Cz0tuDiY8C3ctxq1tqvaCgkFb8cCA/edit?usp=sharing"",""อุดรธานี!I322"")"),30)</f>
        <v>30</v>
      </c>
      <c r="J427" s="393">
        <f ca="1">IFERROR(__xludf.DUMMYFUNCTION("IMPORTRANGE(""https://docs.google.com/spreadsheets/d/1XL5vhW3sbDhbH9Cz0tuDiY8C3ctxq1tqvaCgkFb8cCA/edit?usp=sharing"",""อุดรธานี!J322"")"),30)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IFERROR(__xludf.DUMMYFUNCTION("IMPORTRANGE(""https://docs.google.com/spreadsheets/d/1XL5vhW3sbDhbH9Cz0tuDiY8C3ctxq1tqvaCgkFb8cCA/edit?usp=sharing"",""อุดรธานี!I323"")"),10)</f>
        <v>10</v>
      </c>
      <c r="J428" s="394">
        <f ca="1">IFERROR(__xludf.DUMMYFUNCTION("IMPORTRANGE(""https://docs.google.com/spreadsheets/d/1XL5vhW3sbDhbH9Cz0tuDiY8C3ctxq1tqvaCgkFb8cCA/edit?usp=sharing"",""อุดรธานี!J323"")"),10)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IFERROR(__xludf.DUMMYFUNCTION("IMPORTRANGE(""https://docs.google.com/spreadsheets/d/1XL5vhW3sbDhbH9Cz0tuDiY8C3ctxq1tqvaCgkFb8cCA/edit?usp=sharing"",""อุดรธานี!I324"")"),10)</f>
        <v>10</v>
      </c>
      <c r="J429" s="394">
        <f ca="1">IFERROR(__xludf.DUMMYFUNCTION("IMPORTRANGE(""https://docs.google.com/spreadsheets/d/1XL5vhW3sbDhbH9Cz0tuDiY8C3ctxq1tqvaCgkFb8cCA/edit?usp=sharing"",""อุดรธานี!J324"")"),10)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IFERROR(__xludf.DUMMYFUNCTION("IMPORTRANGE(""https://docs.google.com/spreadsheets/d/1XL5vhW3sbDhbH9Cz0tuDiY8C3ctxq1tqvaCgkFb8cCA/edit?usp=sharing"",""อุดรธานี!I325"")"),48)</f>
        <v>48</v>
      </c>
      <c r="J430" s="392">
        <f ca="1">IFERROR(__xludf.DUMMYFUNCTION("IMPORTRANGE(""https://docs.google.com/spreadsheets/d/1XL5vhW3sbDhbH9Cz0tuDiY8C3ctxq1tqvaCgkFb8cCA/edit?usp=sharing"",""อุดรธานี!J325"")"),48)</f>
        <v>48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IFERROR(__xludf.DUMMYFUNCTION("IMPORTRANGE(""https://docs.google.com/spreadsheets/d/1XL5vhW3sbDhbH9Cz0tuDiY8C3ctxq1tqvaCgkFb8cCA/edit?usp=sharing"",""อุดรธานี!I326"")"),10)</f>
        <v>10</v>
      </c>
      <c r="J431" s="394">
        <f ca="1">IFERROR(__xludf.DUMMYFUNCTION("IMPORTRANGE(""https://docs.google.com/spreadsheets/d/1XL5vhW3sbDhbH9Cz0tuDiY8C3ctxq1tqvaCgkFb8cCA/edit?usp=sharing"",""อุดรธานี!J326"")"),10)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IFERROR(__xludf.DUMMYFUNCTION("IMPORTRANGE(""https://docs.google.com/spreadsheets/d/1XL5vhW3sbDhbH9Cz0tuDiY8C3ctxq1tqvaCgkFb8cCA/edit?usp=sharing"",""อุดรธานี!I327"")"),38)</f>
        <v>38</v>
      </c>
      <c r="J432" s="394">
        <f ca="1">IFERROR(__xludf.DUMMYFUNCTION("IMPORTRANGE(""https://docs.google.com/spreadsheets/d/1XL5vhW3sbDhbH9Cz0tuDiY8C3ctxq1tqvaCgkFb8cCA/edit?usp=sharing"",""อุดรธานี!J327"")"),38)</f>
        <v>38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IFERROR(__xludf.DUMMYFUNCTION("IMPORTRANGE(""https://docs.google.com/spreadsheets/d/1XL5vhW3sbDhbH9Cz0tuDiY8C3ctxq1tqvaCgkFb8cCA/edit?usp=sharing"",""อุดรธานี!J328"")"),0)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IFERROR(__xludf.DUMMYFUNCTION("IMPORTRANGE(""https://docs.google.com/spreadsheets/d/1XL5vhW3sbDhbH9Cz0tuDiY8C3ctxq1tqvaCgkFb8cCA/edit?usp=sharing"",""อุดรธานี!J329"")"),0)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IFERROR(__xludf.DUMMYFUNCTION("IMPORTRANGE(""https://docs.google.com/spreadsheets/d/1XL5vhW3sbDhbH9Cz0tuDiY8C3ctxq1tqvaCgkFb8cCA/edit?usp=sharing"",""อุดรธานี!I330"")"),20)</f>
        <v>20</v>
      </c>
      <c r="J435" s="410">
        <f ca="1">IFERROR(__xludf.DUMMYFUNCTION("IMPORTRANGE(""https://docs.google.com/spreadsheets/d/1XL5vhW3sbDhbH9Cz0tuDiY8C3ctxq1tqvaCgkFb8cCA/edit?usp=sharing"",""อุดรธานี!J330"")"),20)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IFERROR(__xludf.DUMMYFUNCTION("IMPORTRANGE(""https://docs.google.com/spreadsheets/d/1XL5vhW3sbDhbH9Cz0tuDiY8C3ctxq1tqvaCgkFb8cCA/edit?usp=sharing"",""อุดรธานี!L330"")"),100000)</f>
        <v>100000</v>
      </c>
      <c r="M435" s="412"/>
      <c r="N435" s="412">
        <f ca="1">IFERROR(__xludf.DUMMYFUNCTION("IMPORTRANGE(""https://docs.google.com/spreadsheets/d/1XL5vhW3sbDhbH9Cz0tuDiY8C3ctxq1tqvaCgkFb8cCA/edit?usp=sharing"",""อุดรธานี!M330"")"),80627)</f>
        <v>80627</v>
      </c>
      <c r="O435" s="412">
        <f t="shared" ref="O435:O439" ca="1" si="114">+IF(L435&gt;0,N435*100/L435,0)</f>
        <v>80.626999999999995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IFERROR(__xludf.DUMMYFUNCTION("IMPORTRANGE(""https://docs.google.com/spreadsheets/d/1XL5vhW3sbDhbH9Cz0tuDiY8C3ctxq1tqvaCgkFb8cCA/edit?usp=sharing"",""อุดรธานี!L331"")"),0)</f>
        <v>0</v>
      </c>
      <c r="M436" s="164"/>
      <c r="N436" s="169">
        <f ca="1">IFERROR(__xludf.DUMMYFUNCTION("IMPORTRANGE(""https://docs.google.com/spreadsheets/d/1XL5vhW3sbDhbH9Cz0tuDiY8C3ctxq1tqvaCgkFb8cCA/edit?usp=sharing"",""อุดรธานี!M331"")"),0)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IFERROR(__xludf.DUMMYFUNCTION("IMPORTRANGE(""https://docs.google.com/spreadsheets/d/1XL5vhW3sbDhbH9Cz0tuDiY8C3ctxq1tqvaCgkFb8cCA/edit?usp=sharing"",""อุดรธานี!L332"")"),100000)</f>
        <v>100000</v>
      </c>
      <c r="M437" s="165"/>
      <c r="N437" s="169">
        <f ca="1">IFERROR(__xludf.DUMMYFUNCTION("IMPORTRANGE(""https://docs.google.com/spreadsheets/d/1XL5vhW3sbDhbH9Cz0tuDiY8C3ctxq1tqvaCgkFb8cCA/edit?usp=sharing"",""อุดรธานี!M332"")"),80627)</f>
        <v>80627</v>
      </c>
      <c r="O437" s="169">
        <f t="shared" ca="1" si="114"/>
        <v>80.626999999999995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IFERROR(__xludf.DUMMYFUNCTION("IMPORTRANGE(""https://docs.google.com/spreadsheets/d/1XL5vhW3sbDhbH9Cz0tuDiY8C3ctxq1tqvaCgkFb8cCA/edit?usp=sharing"",""อุดรธานี!L333"")"),0)</f>
        <v>0</v>
      </c>
      <c r="M438" s="169"/>
      <c r="N438" s="169">
        <f ca="1">IFERROR(__xludf.DUMMYFUNCTION("IMPORTRANGE(""https://docs.google.com/spreadsheets/d/1XL5vhW3sbDhbH9Cz0tuDiY8C3ctxq1tqvaCgkFb8cCA/edit?usp=sharing"",""อุดรธานี!M333"")"),0)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IFERROR(__xludf.DUMMYFUNCTION("IMPORTRANGE(""https://docs.google.com/spreadsheets/d/1XL5vhW3sbDhbH9Cz0tuDiY8C3ctxq1tqvaCgkFb8cCA/edit?usp=sharing"",""อุดรธานี!L334"")"),100000)</f>
        <v>100000</v>
      </c>
      <c r="M439" s="169"/>
      <c r="N439" s="169">
        <f ca="1">IFERROR(__xludf.DUMMYFUNCTION("IMPORTRANGE(""https://docs.google.com/spreadsheets/d/1XL5vhW3sbDhbH9Cz0tuDiY8C3ctxq1tqvaCgkFb8cCA/edit?usp=sharing"",""อุดรธานี!M334"")"),80627)</f>
        <v>80627</v>
      </c>
      <c r="O439" s="169">
        <f t="shared" ca="1" si="114"/>
        <v>80.626999999999995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IFERROR(__xludf.DUMMYFUNCTION("IMPORTRANGE(""https://docs.google.com/spreadsheets/d/1XL5vhW3sbDhbH9Cz0tuDiY8C3ctxq1tqvaCgkFb8cCA/edit?usp=sharing"",""อุดรธานี!M335"")"),41290)</f>
        <v>41290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IFERROR(__xludf.DUMMYFUNCTION("IMPORTRANGE(""https://docs.google.com/spreadsheets/d/1XL5vhW3sbDhbH9Cz0tuDiY8C3ctxq1tqvaCgkFb8cCA/edit?usp=sharing"",""อุดรธานี!M336"")"),0)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IFERROR(__xludf.DUMMYFUNCTION("IMPORTRANGE(""https://docs.google.com/spreadsheets/d/1XL5vhW3sbDhbH9Cz0tuDiY8C3ctxq1tqvaCgkFb8cCA/edit?usp=sharing"",""อุดรธานี!M337"")"),0)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IFERROR(__xludf.DUMMYFUNCTION("IMPORTRANGE(""https://docs.google.com/spreadsheets/d/1XL5vhW3sbDhbH9Cz0tuDiY8C3ctxq1tqvaCgkFb8cCA/edit?usp=sharing"",""อุดรธานี!M338"")"),39337)</f>
        <v>39337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IFERROR(__xludf.DUMMYFUNCTION("IMPORTRANGE(""https://docs.google.com/spreadsheets/d/1XL5vhW3sbDhbH9Cz0tuDiY8C3ctxq1tqvaCgkFb8cCA/edit?usp=sharing"",""อุดรธานี!J340"")"),0)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IFERROR(__xludf.DUMMYFUNCTION("IMPORTRANGE(""https://docs.google.com/spreadsheets/d/1XL5vhW3sbDhbH9Cz0tuDiY8C3ctxq1tqvaCgkFb8cCA/edit?usp=sharing"",""อุดรธานี!J341"")"),1)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IFERROR(__xludf.DUMMYFUNCTION("IMPORTRANGE(""https://docs.google.com/spreadsheets/d/1XL5vhW3sbDhbH9Cz0tuDiY8C3ctxq1tqvaCgkFb8cCA/edit?usp=sharing"",""อุดรธานี!J342"")"),1)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IFERROR(__xludf.DUMMYFUNCTION("IMPORTRANGE(""https://docs.google.com/spreadsheets/d/1XL5vhW3sbDhbH9Cz0tuDiY8C3ctxq1tqvaCgkFb8cCA/edit?usp=sharing"",""อุดรธานี!J343"")"),1)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IFERROR(__xludf.DUMMYFUNCTION("IMPORTRANGE(""https://docs.google.com/spreadsheets/d/1XL5vhW3sbDhbH9Cz0tuDiY8C3ctxq1tqvaCgkFb8cCA/edit?usp=sharing"",""อุดรธานี!I344"")"),20)</f>
        <v>20</v>
      </c>
      <c r="J449" s="201">
        <f ca="1">IFERROR(__xludf.DUMMYFUNCTION("IMPORTRANGE(""https://docs.google.com/spreadsheets/d/1XL5vhW3sbDhbH9Cz0tuDiY8C3ctxq1tqvaCgkFb8cCA/edit?usp=sharing"",""อุดรธานี!J344"")"),20)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IFERROR(__xludf.DUMMYFUNCTION("IMPORTRANGE(""https://docs.google.com/spreadsheets/d/1XL5vhW3sbDhbH9Cz0tuDiY8C3ctxq1tqvaCgkFb8cCA/edit?usp=sharing"",""อุดรธานี!I345"")"),20)</f>
        <v>20</v>
      </c>
      <c r="J450" s="189">
        <f ca="1">IFERROR(__xludf.DUMMYFUNCTION("IMPORTRANGE(""https://docs.google.com/spreadsheets/d/1XL5vhW3sbDhbH9Cz0tuDiY8C3ctxq1tqvaCgkFb8cCA/edit?usp=sharing"",""อุดรธานี!J345"")"),20)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IFERROR(__xludf.DUMMYFUNCTION("IMPORTRANGE(""https://docs.google.com/spreadsheets/d/1XL5vhW3sbDhbH9Cz0tuDiY8C3ctxq1tqvaCgkFb8cCA/edit?usp=sharing"",""อุดรธานี!I346"")"),0)</f>
        <v>0</v>
      </c>
      <c r="J451" s="188">
        <f ca="1">IFERROR(__xludf.DUMMYFUNCTION("IMPORTRANGE(""https://docs.google.com/spreadsheets/d/1XL5vhW3sbDhbH9Cz0tuDiY8C3ctxq1tqvaCgkFb8cCA/edit?usp=sharing"",""อุดรธานี!J346"")"),0)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IFERROR(__xludf.DUMMYFUNCTION("IMPORTRANGE(""https://docs.google.com/spreadsheets/d/1XL5vhW3sbDhbH9Cz0tuDiY8C3ctxq1tqvaCgkFb8cCA/edit?usp=sharing"",""อุดรธานี!I347"")"),0)</f>
        <v>0</v>
      </c>
      <c r="J452" s="188">
        <f ca="1">IFERROR(__xludf.DUMMYFUNCTION("IMPORTRANGE(""https://docs.google.com/spreadsheets/d/1XL5vhW3sbDhbH9Cz0tuDiY8C3ctxq1tqvaCgkFb8cCA/edit?usp=sharing"",""อุดรธานี!J347"")"),0)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IFERROR(__xludf.DUMMYFUNCTION("IMPORTRANGE(""https://docs.google.com/spreadsheets/d/1XL5vhW3sbDhbH9Cz0tuDiY8C3ctxq1tqvaCgkFb8cCA/edit?usp=sharing"",""อุดรธานี!J348"")"),0)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IFERROR(__xludf.DUMMYFUNCTION("IMPORTRANGE(""https://docs.google.com/spreadsheets/d/1XL5vhW3sbDhbH9Cz0tuDiY8C3ctxq1tqvaCgkFb8cCA/edit?usp=sharing"",""อุดรธานี!J349"")"),0)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IFERROR(__xludf.DUMMYFUNCTION("IMPORTRANGE(""https://docs.google.com/spreadsheets/d/1XL5vhW3sbDhbH9Cz0tuDiY8C3ctxq1tqvaCgkFb8cCA/edit?usp=sharing"",""อุดรธานี!I350"")"),31437)</f>
        <v>31437</v>
      </c>
      <c r="J455" s="371">
        <f ca="1">IFERROR(__xludf.DUMMYFUNCTION("IMPORTRANGE(""https://docs.google.com/spreadsheets/d/1XL5vhW3sbDhbH9Cz0tuDiY8C3ctxq1tqvaCgkFb8cCA/edit?usp=sharing"",""อุดรธานี!J350"")"),0)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IFERROR(__xludf.DUMMYFUNCTION("IMPORTRANGE(""https://docs.google.com/spreadsheets/d/1XL5vhW3sbDhbH9Cz0tuDiY8C3ctxq1tqvaCgkFb8cCA/edit?usp=sharing"",""อุดรธานี!L350"")"),310551)</f>
        <v>310551</v>
      </c>
      <c r="M455" s="373"/>
      <c r="N455" s="373">
        <f ca="1">IFERROR(__xludf.DUMMYFUNCTION("IMPORTRANGE(""https://docs.google.com/spreadsheets/d/1XL5vhW3sbDhbH9Cz0tuDiY8C3ctxq1tqvaCgkFb8cCA/edit?usp=sharing"",""อุดรธานี!M350"")"),141972)</f>
        <v>141972</v>
      </c>
      <c r="O455" s="373">
        <f t="shared" ref="O455:O459" ca="1" si="116">+IF(L455&gt;0,N455*100/L455,0)</f>
        <v>45.716162562670867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IFERROR(__xludf.DUMMYFUNCTION("IMPORTRANGE(""https://docs.google.com/spreadsheets/d/1XL5vhW3sbDhbH9Cz0tuDiY8C3ctxq1tqvaCgkFb8cCA/edit?usp=sharing"",""อุดรธานี!L351"")"),0)</f>
        <v>0</v>
      </c>
      <c r="M456" s="164"/>
      <c r="N456" s="169">
        <f ca="1">IFERROR(__xludf.DUMMYFUNCTION("IMPORTRANGE(""https://docs.google.com/spreadsheets/d/1XL5vhW3sbDhbH9Cz0tuDiY8C3ctxq1tqvaCgkFb8cCA/edit?usp=sharing"",""อุดรธานี!M351"")"),0)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IFERROR(__xludf.DUMMYFUNCTION("IMPORTRANGE(""https://docs.google.com/spreadsheets/d/1XL5vhW3sbDhbH9Cz0tuDiY8C3ctxq1tqvaCgkFb8cCA/edit?usp=sharing"",""อุดรธานี!L352"")"),310551)</f>
        <v>310551</v>
      </c>
      <c r="M457" s="165"/>
      <c r="N457" s="169">
        <f ca="1">IFERROR(__xludf.DUMMYFUNCTION("IMPORTRANGE(""https://docs.google.com/spreadsheets/d/1XL5vhW3sbDhbH9Cz0tuDiY8C3ctxq1tqvaCgkFb8cCA/edit?usp=sharing"",""อุดรธานี!M352"")"),141972)</f>
        <v>141972</v>
      </c>
      <c r="O457" s="169">
        <f t="shared" ca="1" si="116"/>
        <v>45.716162562670867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IFERROR(__xludf.DUMMYFUNCTION("IMPORTRANGE(""https://docs.google.com/spreadsheets/d/1XL5vhW3sbDhbH9Cz0tuDiY8C3ctxq1tqvaCgkFb8cCA/edit?usp=sharing"",""อุดรธานี!L353"")"),0)</f>
        <v>0</v>
      </c>
      <c r="M458" s="169"/>
      <c r="N458" s="169">
        <f ca="1">IFERROR(__xludf.DUMMYFUNCTION("IMPORTRANGE(""https://docs.google.com/spreadsheets/d/1XL5vhW3sbDhbH9Cz0tuDiY8C3ctxq1tqvaCgkFb8cCA/edit?usp=sharing"",""อุดรธานี!M353"")"),0)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IFERROR(__xludf.DUMMYFUNCTION("IMPORTRANGE(""https://docs.google.com/spreadsheets/d/1XL5vhW3sbDhbH9Cz0tuDiY8C3ctxq1tqvaCgkFb8cCA/edit?usp=sharing"",""อุดรธานี!L354"")"),310551)</f>
        <v>310551</v>
      </c>
      <c r="M459" s="169"/>
      <c r="N459" s="169">
        <f ca="1">IFERROR(__xludf.DUMMYFUNCTION("IMPORTRANGE(""https://docs.google.com/spreadsheets/d/1XL5vhW3sbDhbH9Cz0tuDiY8C3ctxq1tqvaCgkFb8cCA/edit?usp=sharing"",""อุดรธานี!M354"")"),141972)</f>
        <v>141972</v>
      </c>
      <c r="O459" s="169">
        <f t="shared" ca="1" si="116"/>
        <v>45.716162562670867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IFERROR(__xludf.DUMMYFUNCTION("IMPORTRANGE(""https://docs.google.com/spreadsheets/d/1XL5vhW3sbDhbH9Cz0tuDiY8C3ctxq1tqvaCgkFb8cCA/edit?usp=sharing"",""อุดรธานี!M355"")"),0)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IFERROR(__xludf.DUMMYFUNCTION("IMPORTRANGE(""https://docs.google.com/spreadsheets/d/1XL5vhW3sbDhbH9Cz0tuDiY8C3ctxq1tqvaCgkFb8cCA/edit?usp=sharing"",""อุดรธานี!M356"")"),0)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IFERROR(__xludf.DUMMYFUNCTION("IMPORTRANGE(""https://docs.google.com/spreadsheets/d/1XL5vhW3sbDhbH9Cz0tuDiY8C3ctxq1tqvaCgkFb8cCA/edit?usp=sharing"",""อุดรธานี!M357"")"),0)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IFERROR(__xludf.DUMMYFUNCTION("IMPORTRANGE(""https://docs.google.com/spreadsheets/d/1XL5vhW3sbDhbH9Cz0tuDiY8C3ctxq1tqvaCgkFb8cCA/edit?usp=sharing"",""อุดรธานี!M358"")"),141972)</f>
        <v>141972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IFERROR(__xludf.DUMMYFUNCTION("IMPORTRANGE(""https://docs.google.com/spreadsheets/d/1XL5vhW3sbDhbH9Cz0tuDiY8C3ctxq1tqvaCgkFb8cCA/edit?usp=sharing"",""อุดรธานี!I359"")"),31437)</f>
        <v>31437</v>
      </c>
      <c r="J464" s="267">
        <f ca="1">IFERROR(__xludf.DUMMYFUNCTION("IMPORTRANGE(""https://docs.google.com/spreadsheets/d/1XL5vhW3sbDhbH9Cz0tuDiY8C3ctxq1tqvaCgkFb8cCA/edit?usp=sharing"",""อุดรธานี!J359"")"),0)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IFERROR(__xludf.DUMMYFUNCTION("IMPORTRANGE(""https://docs.google.com/spreadsheets/d/1XL5vhW3sbDhbH9Cz0tuDiY8C3ctxq1tqvaCgkFb8cCA/edit?usp=sharing"",""อุดรธานี!I360"")"),31437)</f>
        <v>31437</v>
      </c>
      <c r="J465" s="420">
        <f ca="1">IFERROR(__xludf.DUMMYFUNCTION("IMPORTRANGE(""https://docs.google.com/spreadsheets/d/1XL5vhW3sbDhbH9Cz0tuDiY8C3ctxq1tqvaCgkFb8cCA/edit?usp=sharing"",""อุดรธานี!J360"")"),31449)</f>
        <v>31449</v>
      </c>
      <c r="K465" s="202">
        <f t="shared" ca="1" si="117"/>
        <v>100.03817158125776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IFERROR(__xludf.DUMMYFUNCTION("IMPORTRANGE(""https://docs.google.com/spreadsheets/d/1XL5vhW3sbDhbH9Cz0tuDiY8C3ctxq1tqvaCgkFb8cCA/edit?usp=sharing"",""อุดรธานี!I361"")"),2438)</f>
        <v>2438</v>
      </c>
      <c r="J466" s="420">
        <f ca="1">IFERROR(__xludf.DUMMYFUNCTION("IMPORTRANGE(""https://docs.google.com/spreadsheets/d/1XL5vhW3sbDhbH9Cz0tuDiY8C3ctxq1tqvaCgkFb8cCA/edit?usp=sharing"",""อุดรธานี!J361"")"),2438)</f>
        <v>2438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IFERROR(__xludf.DUMMYFUNCTION("IMPORTRANGE(""https://docs.google.com/spreadsheets/d/1XL5vhW3sbDhbH9Cz0tuDiY8C3ctxq1tqvaCgkFb8cCA/edit?usp=sharing"",""อุดรธานี!I362"")"),0)</f>
        <v>0</v>
      </c>
      <c r="J467" s="189">
        <f ca="1">IFERROR(__xludf.DUMMYFUNCTION("IMPORTRANGE(""https://docs.google.com/spreadsheets/d/1XL5vhW3sbDhbH9Cz0tuDiY8C3ctxq1tqvaCgkFb8cCA/edit?usp=sharing"",""อุดรธานี!J362"")"),28368)</f>
        <v>28368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IFERROR(__xludf.DUMMYFUNCTION("IMPORTRANGE(""https://docs.google.com/spreadsheets/d/1XL5vhW3sbDhbH9Cz0tuDiY8C3ctxq1tqvaCgkFb8cCA/edit?usp=sharing"",""อุดรธานี!I363"")"),0)</f>
        <v>0</v>
      </c>
      <c r="J468" s="189">
        <f ca="1">IFERROR(__xludf.DUMMYFUNCTION("IMPORTRANGE(""https://docs.google.com/spreadsheets/d/1XL5vhW3sbDhbH9Cz0tuDiY8C3ctxq1tqvaCgkFb8cCA/edit?usp=sharing"",""อุดรธานี!J363"")"),2245)</f>
        <v>2245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IFERROR(__xludf.DUMMYFUNCTION("IMPORTRANGE(""https://docs.google.com/spreadsheets/d/1XL5vhW3sbDhbH9Cz0tuDiY8C3ctxq1tqvaCgkFb8cCA/edit?usp=sharing"",""อุดรธานี!I364"")"),0)</f>
        <v>0</v>
      </c>
      <c r="J469" s="189">
        <f ca="1">IFERROR(__xludf.DUMMYFUNCTION("IMPORTRANGE(""https://docs.google.com/spreadsheets/d/1XL5vhW3sbDhbH9Cz0tuDiY8C3ctxq1tqvaCgkFb8cCA/edit?usp=sharing"",""อุดรธานี!J364"")"),1647)</f>
        <v>1647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IFERROR(__xludf.DUMMYFUNCTION("IMPORTRANGE(""https://docs.google.com/spreadsheets/d/1XL5vhW3sbDhbH9Cz0tuDiY8C3ctxq1tqvaCgkFb8cCA/edit?usp=sharing"",""อุดรธานี!I365"")"),0)</f>
        <v>0</v>
      </c>
      <c r="J470" s="189">
        <f ca="1">IFERROR(__xludf.DUMMYFUNCTION("IMPORTRANGE(""https://docs.google.com/spreadsheets/d/1XL5vhW3sbDhbH9Cz0tuDiY8C3ctxq1tqvaCgkFb8cCA/edit?usp=sharing"",""อุดรธานี!J365"")"),102)</f>
        <v>102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IFERROR(__xludf.DUMMYFUNCTION("IMPORTRANGE(""https://docs.google.com/spreadsheets/d/1XL5vhW3sbDhbH9Cz0tuDiY8C3ctxq1tqvaCgkFb8cCA/edit?usp=sharing"",""อุดรธานี!I366"")"),0)</f>
        <v>0</v>
      </c>
      <c r="J471" s="189">
        <f ca="1">IFERROR(__xludf.DUMMYFUNCTION("IMPORTRANGE(""https://docs.google.com/spreadsheets/d/1XL5vhW3sbDhbH9Cz0tuDiY8C3ctxq1tqvaCgkFb8cCA/edit?usp=sharing"",""อุดรธานี!J366"")"),1434)</f>
        <v>1434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IFERROR(__xludf.DUMMYFUNCTION("IMPORTRANGE(""https://docs.google.com/spreadsheets/d/1XL5vhW3sbDhbH9Cz0tuDiY8C3ctxq1tqvaCgkFb8cCA/edit?usp=sharing"",""อุดรธานี!I367"")"),0)</f>
        <v>0</v>
      </c>
      <c r="J472" s="189">
        <f ca="1">IFERROR(__xludf.DUMMYFUNCTION("IMPORTRANGE(""https://docs.google.com/spreadsheets/d/1XL5vhW3sbDhbH9Cz0tuDiY8C3ctxq1tqvaCgkFb8cCA/edit?usp=sharing"",""อุดรธานี!J367"")"),91)</f>
        <v>91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IFERROR(__xludf.DUMMYFUNCTION("IMPORTRANGE(""https://docs.google.com/spreadsheets/d/1XL5vhW3sbDhbH9Cz0tuDiY8C3ctxq1tqvaCgkFb8cCA/edit?usp=sharing"",""อุดรธานี!I368"")"),31437)</f>
        <v>31437</v>
      </c>
      <c r="J473" s="420">
        <f ca="1">IFERROR(__xludf.DUMMYFUNCTION("IMPORTRANGE(""https://docs.google.com/spreadsheets/d/1XL5vhW3sbDhbH9Cz0tuDiY8C3ctxq1tqvaCgkFb8cCA/edit?usp=sharing"",""อุดรธานี!J368"")"),31449)</f>
        <v>31449</v>
      </c>
      <c r="K473" s="202">
        <f t="shared" ca="1" si="117"/>
        <v>100.03817158125776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IFERROR(__xludf.DUMMYFUNCTION("IMPORTRANGE(""https://docs.google.com/spreadsheets/d/1XL5vhW3sbDhbH9Cz0tuDiY8C3ctxq1tqvaCgkFb8cCA/edit?usp=sharing"",""อุดรธานี!I369"")"),2438)</f>
        <v>2438</v>
      </c>
      <c r="J474" s="420">
        <f ca="1">IFERROR(__xludf.DUMMYFUNCTION("IMPORTRANGE(""https://docs.google.com/spreadsheets/d/1XL5vhW3sbDhbH9Cz0tuDiY8C3ctxq1tqvaCgkFb8cCA/edit?usp=sharing"",""อุดรธานี!J369"")"),2438)</f>
        <v>2438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IFERROR(__xludf.DUMMYFUNCTION("IMPORTRANGE(""https://docs.google.com/spreadsheets/d/1XL5vhW3sbDhbH9Cz0tuDiY8C3ctxq1tqvaCgkFb8cCA/edit?usp=sharing"",""อุดรธานี!I370"")"),0)</f>
        <v>0</v>
      </c>
      <c r="J475" s="189">
        <f ca="1">IFERROR(__xludf.DUMMYFUNCTION("IMPORTRANGE(""https://docs.google.com/spreadsheets/d/1XL5vhW3sbDhbH9Cz0tuDiY8C3ctxq1tqvaCgkFb8cCA/edit?usp=sharing"",""อุดรธานี!J370"")"),28368)</f>
        <v>28368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IFERROR(__xludf.DUMMYFUNCTION("IMPORTRANGE(""https://docs.google.com/spreadsheets/d/1XL5vhW3sbDhbH9Cz0tuDiY8C3ctxq1tqvaCgkFb8cCA/edit?usp=sharing"",""อุดรธานี!I371"")"),0)</f>
        <v>0</v>
      </c>
      <c r="J476" s="189">
        <f ca="1">IFERROR(__xludf.DUMMYFUNCTION("IMPORTRANGE(""https://docs.google.com/spreadsheets/d/1XL5vhW3sbDhbH9Cz0tuDiY8C3ctxq1tqvaCgkFb8cCA/edit?usp=sharing"",""อุดรธานี!J371"")"),2245)</f>
        <v>2245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IFERROR(__xludf.DUMMYFUNCTION("IMPORTRANGE(""https://docs.google.com/spreadsheets/d/1XL5vhW3sbDhbH9Cz0tuDiY8C3ctxq1tqvaCgkFb8cCA/edit?usp=sharing"",""อุดรธานี!I372"")"),0)</f>
        <v>0</v>
      </c>
      <c r="J477" s="189">
        <f ca="1">IFERROR(__xludf.DUMMYFUNCTION("IMPORTRANGE(""https://docs.google.com/spreadsheets/d/1XL5vhW3sbDhbH9Cz0tuDiY8C3ctxq1tqvaCgkFb8cCA/edit?usp=sharing"",""อุดรธานี!J372"")"),1647)</f>
        <v>1647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IFERROR(__xludf.DUMMYFUNCTION("IMPORTRANGE(""https://docs.google.com/spreadsheets/d/1XL5vhW3sbDhbH9Cz0tuDiY8C3ctxq1tqvaCgkFb8cCA/edit?usp=sharing"",""อุดรธานี!I373"")"),0)</f>
        <v>0</v>
      </c>
      <c r="J478" s="189">
        <f ca="1">IFERROR(__xludf.DUMMYFUNCTION("IMPORTRANGE(""https://docs.google.com/spreadsheets/d/1XL5vhW3sbDhbH9Cz0tuDiY8C3ctxq1tqvaCgkFb8cCA/edit?usp=sharing"",""อุดรธานี!J373"")"),102)</f>
        <v>102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IFERROR(__xludf.DUMMYFUNCTION("IMPORTRANGE(""https://docs.google.com/spreadsheets/d/1XL5vhW3sbDhbH9Cz0tuDiY8C3ctxq1tqvaCgkFb8cCA/edit?usp=sharing"",""อุดรธานี!I374"")"),0)</f>
        <v>0</v>
      </c>
      <c r="J479" s="189">
        <f ca="1">IFERROR(__xludf.DUMMYFUNCTION("IMPORTRANGE(""https://docs.google.com/spreadsheets/d/1XL5vhW3sbDhbH9Cz0tuDiY8C3ctxq1tqvaCgkFb8cCA/edit?usp=sharing"",""อุดรธานี!J374"")"),1434)</f>
        <v>1434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IFERROR(__xludf.DUMMYFUNCTION("IMPORTRANGE(""https://docs.google.com/spreadsheets/d/1XL5vhW3sbDhbH9Cz0tuDiY8C3ctxq1tqvaCgkFb8cCA/edit?usp=sharing"",""อุดรธานี!I375"")"),0)</f>
        <v>0</v>
      </c>
      <c r="J480" s="189">
        <f ca="1">IFERROR(__xludf.DUMMYFUNCTION("IMPORTRANGE(""https://docs.google.com/spreadsheets/d/1XL5vhW3sbDhbH9Cz0tuDiY8C3ctxq1tqvaCgkFb8cCA/edit?usp=sharing"",""อุดรธานี!J375"")"),91)</f>
        <v>91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IFERROR(__xludf.DUMMYFUNCTION("IMPORTRANGE(""https://docs.google.com/spreadsheets/d/1XL5vhW3sbDhbH9Cz0tuDiY8C3ctxq1tqvaCgkFb8cCA/edit?usp=sharing"",""อุดรธานี!I376"")"),31437)</f>
        <v>31437</v>
      </c>
      <c r="J481" s="420">
        <f ca="1">IFERROR(__xludf.DUMMYFUNCTION("IMPORTRANGE(""https://docs.google.com/spreadsheets/d/1XL5vhW3sbDhbH9Cz0tuDiY8C3ctxq1tqvaCgkFb8cCA/edit?usp=sharing"",""อุดรธานี!J376"")"),0)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IFERROR(__xludf.DUMMYFUNCTION("IMPORTRANGE(""https://docs.google.com/spreadsheets/d/1XL5vhW3sbDhbH9Cz0tuDiY8C3ctxq1tqvaCgkFb8cCA/edit?usp=sharing"",""อุดรธานี!I377"")"),2438)</f>
        <v>2438</v>
      </c>
      <c r="J482" s="420">
        <f ca="1">IFERROR(__xludf.DUMMYFUNCTION("IMPORTRANGE(""https://docs.google.com/spreadsheets/d/1XL5vhW3sbDhbH9Cz0tuDiY8C3ctxq1tqvaCgkFb8cCA/edit?usp=sharing"",""อุดรธานี!J377"")"),0)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IFERROR(__xludf.DUMMYFUNCTION("IMPORTRANGE(""https://docs.google.com/spreadsheets/d/1XL5vhW3sbDhbH9Cz0tuDiY8C3ctxq1tqvaCgkFb8cCA/edit?usp=sharing"",""อุดรธานี!I378"")"),0)</f>
        <v>0</v>
      </c>
      <c r="J483" s="189">
        <f ca="1">IFERROR(__xludf.DUMMYFUNCTION("IMPORTRANGE(""https://docs.google.com/spreadsheets/d/1XL5vhW3sbDhbH9Cz0tuDiY8C3ctxq1tqvaCgkFb8cCA/edit?usp=sharing"",""อุดรธานี!J378"")"),0)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IFERROR(__xludf.DUMMYFUNCTION("IMPORTRANGE(""https://docs.google.com/spreadsheets/d/1XL5vhW3sbDhbH9Cz0tuDiY8C3ctxq1tqvaCgkFb8cCA/edit?usp=sharing"",""อุดรธานี!I379"")"),0)</f>
        <v>0</v>
      </c>
      <c r="J484" s="189">
        <f ca="1">IFERROR(__xludf.DUMMYFUNCTION("IMPORTRANGE(""https://docs.google.com/spreadsheets/d/1XL5vhW3sbDhbH9Cz0tuDiY8C3ctxq1tqvaCgkFb8cCA/edit?usp=sharing"",""อุดรธานี!J379"")"),0)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IFERROR(__xludf.DUMMYFUNCTION("IMPORTRANGE(""https://docs.google.com/spreadsheets/d/1XL5vhW3sbDhbH9Cz0tuDiY8C3ctxq1tqvaCgkFb8cCA/edit?usp=sharing"",""อุดรธานี!I380"")"),0)</f>
        <v>0</v>
      </c>
      <c r="J485" s="189">
        <f ca="1">IFERROR(__xludf.DUMMYFUNCTION("IMPORTRANGE(""https://docs.google.com/spreadsheets/d/1XL5vhW3sbDhbH9Cz0tuDiY8C3ctxq1tqvaCgkFb8cCA/edit?usp=sharing"",""อุดรธานี!J380"")"),0)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IFERROR(__xludf.DUMMYFUNCTION("IMPORTRANGE(""https://docs.google.com/spreadsheets/d/1XL5vhW3sbDhbH9Cz0tuDiY8C3ctxq1tqvaCgkFb8cCA/edit?usp=sharing"",""อุดรธานี!I381"")"),0)</f>
        <v>0</v>
      </c>
      <c r="J486" s="189">
        <f ca="1">IFERROR(__xludf.DUMMYFUNCTION("IMPORTRANGE(""https://docs.google.com/spreadsheets/d/1XL5vhW3sbDhbH9Cz0tuDiY8C3ctxq1tqvaCgkFb8cCA/edit?usp=sharing"",""อุดรธานี!J381"")"),0)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IFERROR(__xludf.DUMMYFUNCTION("IMPORTRANGE(""https://docs.google.com/spreadsheets/d/1XL5vhW3sbDhbH9Cz0tuDiY8C3ctxq1tqvaCgkFb8cCA/edit?usp=sharing"",""อุดรธานี!I382"")"),0)</f>
        <v>0</v>
      </c>
      <c r="J487" s="420">
        <f ca="1">IFERROR(__xludf.DUMMYFUNCTION("IMPORTRANGE(""https://docs.google.com/spreadsheets/d/1XL5vhW3sbDhbH9Cz0tuDiY8C3ctxq1tqvaCgkFb8cCA/edit?usp=sharing"",""อุดรธานี!J382"")"),0)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IFERROR(__xludf.DUMMYFUNCTION("IMPORTRANGE(""https://docs.google.com/spreadsheets/d/1XL5vhW3sbDhbH9Cz0tuDiY8C3ctxq1tqvaCgkFb8cCA/edit?usp=sharing"",""อุดรธานี!I383"")"),0)</f>
        <v>0</v>
      </c>
      <c r="J488" s="420">
        <f ca="1">IFERROR(__xludf.DUMMYFUNCTION("IMPORTRANGE(""https://docs.google.com/spreadsheets/d/1XL5vhW3sbDhbH9Cz0tuDiY8C3ctxq1tqvaCgkFb8cCA/edit?usp=sharing"",""อุดรธานี!J383"")"),0)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IFERROR(__xludf.DUMMYFUNCTION("IMPORTRANGE(""https://docs.google.com/spreadsheets/d/1XL5vhW3sbDhbH9Cz0tuDiY8C3ctxq1tqvaCgkFb8cCA/edit?usp=sharing"",""อุดรธานี!I384"")"),0)</f>
        <v>0</v>
      </c>
      <c r="J489" s="189">
        <f ca="1">IFERROR(__xludf.DUMMYFUNCTION("IMPORTRANGE(""https://docs.google.com/spreadsheets/d/1XL5vhW3sbDhbH9Cz0tuDiY8C3ctxq1tqvaCgkFb8cCA/edit?usp=sharing"",""อุดรธานี!J384"")"),0)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IFERROR(__xludf.DUMMYFUNCTION("IMPORTRANGE(""https://docs.google.com/spreadsheets/d/1XL5vhW3sbDhbH9Cz0tuDiY8C3ctxq1tqvaCgkFb8cCA/edit?usp=sharing"",""อุดรธานี!I385"")"),0)</f>
        <v>0</v>
      </c>
      <c r="J490" s="189">
        <f ca="1">IFERROR(__xludf.DUMMYFUNCTION("IMPORTRANGE(""https://docs.google.com/spreadsheets/d/1XL5vhW3sbDhbH9Cz0tuDiY8C3ctxq1tqvaCgkFb8cCA/edit?usp=sharing"",""อุดรธานี!J385"")"),0)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IFERROR(__xludf.DUMMYFUNCTION("IMPORTRANGE(""https://docs.google.com/spreadsheets/d/1XL5vhW3sbDhbH9Cz0tuDiY8C3ctxq1tqvaCgkFb8cCA/edit?usp=sharing"",""อุดรธานี!I386"")"),0)</f>
        <v>0</v>
      </c>
      <c r="J491" s="189">
        <f ca="1">IFERROR(__xludf.DUMMYFUNCTION("IMPORTRANGE(""https://docs.google.com/spreadsheets/d/1XL5vhW3sbDhbH9Cz0tuDiY8C3ctxq1tqvaCgkFb8cCA/edit?usp=sharing"",""อุดรธานี!J386"")"),0)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IFERROR(__xludf.DUMMYFUNCTION("IMPORTRANGE(""https://docs.google.com/spreadsheets/d/1XL5vhW3sbDhbH9Cz0tuDiY8C3ctxq1tqvaCgkFb8cCA/edit?usp=sharing"",""อุดรธานี!I387"")"),0)</f>
        <v>0</v>
      </c>
      <c r="J492" s="189">
        <f ca="1">IFERROR(__xludf.DUMMYFUNCTION("IMPORTRANGE(""https://docs.google.com/spreadsheets/d/1XL5vhW3sbDhbH9Cz0tuDiY8C3ctxq1tqvaCgkFb8cCA/edit?usp=sharing"",""อุดรธานี!J387"")"),0)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IFERROR(__xludf.DUMMYFUNCTION("IMPORTRANGE(""https://docs.google.com/spreadsheets/d/1XL5vhW3sbDhbH9Cz0tuDiY8C3ctxq1tqvaCgkFb8cCA/edit?usp=sharing"",""อุดรธานี!I388"")"),0)</f>
        <v>0</v>
      </c>
      <c r="J493" s="189">
        <f ca="1">IFERROR(__xludf.DUMMYFUNCTION("IMPORTRANGE(""https://docs.google.com/spreadsheets/d/1XL5vhW3sbDhbH9Cz0tuDiY8C3ctxq1tqvaCgkFb8cCA/edit?usp=sharing"",""อุดรธานี!J388"")"),0)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IFERROR(__xludf.DUMMYFUNCTION("IMPORTRANGE(""https://docs.google.com/spreadsheets/d/1XL5vhW3sbDhbH9Cz0tuDiY8C3ctxq1tqvaCgkFb8cCA/edit?usp=sharing"",""อุดรธานี!I389"")"),0)</f>
        <v>0</v>
      </c>
      <c r="J494" s="436">
        <f ca="1">IFERROR(__xludf.DUMMYFUNCTION("IMPORTRANGE(""https://docs.google.com/spreadsheets/d/1XL5vhW3sbDhbH9Cz0tuDiY8C3ctxq1tqvaCgkFb8cCA/edit?usp=sharing"",""อุดรธานี!J389"")"),0)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IFERROR(__xludf.DUMMYFUNCTION("IMPORTRANGE(""https://docs.google.com/spreadsheets/d/1XL5vhW3sbDhbH9Cz0tuDiY8C3ctxq1tqvaCgkFb8cCA/edit?usp=sharing"",""อุดรธานี!I390"")"),0)</f>
        <v>0</v>
      </c>
      <c r="J495" s="436">
        <f ca="1">IFERROR(__xludf.DUMMYFUNCTION("IMPORTRANGE(""https://docs.google.com/spreadsheets/d/1XL5vhW3sbDhbH9Cz0tuDiY8C3ctxq1tqvaCgkFb8cCA/edit?usp=sharing"",""อุดรธานี!J390"")"),0)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IFERROR(__xludf.DUMMYFUNCTION("IMPORTRANGE(""https://docs.google.com/spreadsheets/d/1XL5vhW3sbDhbH9Cz0tuDiY8C3ctxq1tqvaCgkFb8cCA/edit?usp=sharing"",""อุดรธานี!I391"")"),0)</f>
        <v>0</v>
      </c>
      <c r="J496" s="436">
        <f ca="1">IFERROR(__xludf.DUMMYFUNCTION("IMPORTRANGE(""https://docs.google.com/spreadsheets/d/1XL5vhW3sbDhbH9Cz0tuDiY8C3ctxq1tqvaCgkFb8cCA/edit?usp=sharing"",""อุดรธานี!J391"")"),0)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IFERROR(__xludf.DUMMYFUNCTION("IMPORTRANGE(""https://docs.google.com/spreadsheets/d/1XL5vhW3sbDhbH9Cz0tuDiY8C3ctxq1tqvaCgkFb8cCA/edit?usp=sharing"",""อุดรธานี!I392"")"),10261)</f>
        <v>10261</v>
      </c>
      <c r="J497" s="443">
        <f ca="1">IFERROR(__xludf.DUMMYFUNCTION("IMPORTRANGE(""https://docs.google.com/spreadsheets/d/1XL5vhW3sbDhbH9Cz0tuDiY8C3ctxq1tqvaCgkFb8cCA/edit?usp=sharing"",""อุดรธานี!J392"")"),0)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IFERROR(__xludf.DUMMYFUNCTION("IMPORTRANGE(""https://docs.google.com/spreadsheets/d/1XL5vhW3sbDhbH9Cz0tuDiY8C3ctxq1tqvaCgkFb8cCA/edit?usp=sharing"",""อุดรธานี!I393"")"),10261)</f>
        <v>10261</v>
      </c>
      <c r="J498" s="420">
        <f ca="1">IFERROR(__xludf.DUMMYFUNCTION("IMPORTRANGE(""https://docs.google.com/spreadsheets/d/1XL5vhW3sbDhbH9Cz0tuDiY8C3ctxq1tqvaCgkFb8cCA/edit?usp=sharing"",""อุดรธานี!J393"")"),0)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IFERROR(__xludf.DUMMYFUNCTION("IMPORTRANGE(""https://docs.google.com/spreadsheets/d/1XL5vhW3sbDhbH9Cz0tuDiY8C3ctxq1tqvaCgkFb8cCA/edit?usp=sharing"",""อุดรธานี!I394"")"),731)</f>
        <v>731</v>
      </c>
      <c r="J499" s="420">
        <f ca="1">IFERROR(__xludf.DUMMYFUNCTION("IMPORTRANGE(""https://docs.google.com/spreadsheets/d/1XL5vhW3sbDhbH9Cz0tuDiY8C3ctxq1tqvaCgkFb8cCA/edit?usp=sharing"",""อุดรธานี!J394"")"),0)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IFERROR(__xludf.DUMMYFUNCTION("IMPORTRANGE(""https://docs.google.com/spreadsheets/d/1XL5vhW3sbDhbH9Cz0tuDiY8C3ctxq1tqvaCgkFb8cCA/edit?usp=sharing"",""อุดรธานี!I395"")"),0)</f>
        <v>0</v>
      </c>
      <c r="J500" s="162">
        <f ca="1">IFERROR(__xludf.DUMMYFUNCTION("IMPORTRANGE(""https://docs.google.com/spreadsheets/d/1XL5vhW3sbDhbH9Cz0tuDiY8C3ctxq1tqvaCgkFb8cCA/edit?usp=sharing"",""อุดรธานี!J395"")"),0)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IFERROR(__xludf.DUMMYFUNCTION("IMPORTRANGE(""https://docs.google.com/spreadsheets/d/1XL5vhW3sbDhbH9Cz0tuDiY8C3ctxq1tqvaCgkFb8cCA/edit?usp=sharing"",""อุดรธานี!I396"")"),0)</f>
        <v>0</v>
      </c>
      <c r="J501" s="162">
        <f ca="1">IFERROR(__xludf.DUMMYFUNCTION("IMPORTRANGE(""https://docs.google.com/spreadsheets/d/1XL5vhW3sbDhbH9Cz0tuDiY8C3ctxq1tqvaCgkFb8cCA/edit?usp=sharing"",""อุดรธานี!J396"")"),0)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IFERROR(__xludf.DUMMYFUNCTION("IMPORTRANGE(""https://docs.google.com/spreadsheets/d/1XL5vhW3sbDhbH9Cz0tuDiY8C3ctxq1tqvaCgkFb8cCA/edit?usp=sharing"",""อุดรธานี!I397"")"),0)</f>
        <v>0</v>
      </c>
      <c r="J502" s="189">
        <f ca="1">IFERROR(__xludf.DUMMYFUNCTION("IMPORTRANGE(""https://docs.google.com/spreadsheets/d/1XL5vhW3sbDhbH9Cz0tuDiY8C3ctxq1tqvaCgkFb8cCA/edit?usp=sharing"",""อุดรธานี!J397"")"),0)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IFERROR(__xludf.DUMMYFUNCTION("IMPORTRANGE(""https://docs.google.com/spreadsheets/d/1XL5vhW3sbDhbH9Cz0tuDiY8C3ctxq1tqvaCgkFb8cCA/edit?usp=sharing"",""อุดรธานี!I398"")"),0)</f>
        <v>0</v>
      </c>
      <c r="J503" s="198">
        <f ca="1">IFERROR(__xludf.DUMMYFUNCTION("IMPORTRANGE(""https://docs.google.com/spreadsheets/d/1XL5vhW3sbDhbH9Cz0tuDiY8C3ctxq1tqvaCgkFb8cCA/edit?usp=sharing"",""อุดรธานี!J398"")"),0)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IFERROR(__xludf.DUMMYFUNCTION("IMPORTRANGE(""https://docs.google.com/spreadsheets/d/1XL5vhW3sbDhbH9Cz0tuDiY8C3ctxq1tqvaCgkFb8cCA/edit?usp=sharing"",""อุดรธานี!I399"")"),0)</f>
        <v>0</v>
      </c>
      <c r="J504" s="189">
        <f ca="1">IFERROR(__xludf.DUMMYFUNCTION("IMPORTRANGE(""https://docs.google.com/spreadsheets/d/1XL5vhW3sbDhbH9Cz0tuDiY8C3ctxq1tqvaCgkFb8cCA/edit?usp=sharing"",""อุดรธานี!J399"")"),0)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IFERROR(__xludf.DUMMYFUNCTION("IMPORTRANGE(""https://docs.google.com/spreadsheets/d/1XL5vhW3sbDhbH9Cz0tuDiY8C3ctxq1tqvaCgkFb8cCA/edit?usp=sharing"",""อุดรธานี!I400"")"),0)</f>
        <v>0</v>
      </c>
      <c r="J505" s="198">
        <f ca="1">IFERROR(__xludf.DUMMYFUNCTION("IMPORTRANGE(""https://docs.google.com/spreadsheets/d/1XL5vhW3sbDhbH9Cz0tuDiY8C3ctxq1tqvaCgkFb8cCA/edit?usp=sharing"",""อุดรธานี!J400"")"),0)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IFERROR(__xludf.DUMMYFUNCTION("IMPORTRANGE(""https://docs.google.com/spreadsheets/d/1XL5vhW3sbDhbH9Cz0tuDiY8C3ctxq1tqvaCgkFb8cCA/edit?usp=sharing"",""อุดรธานี!I401"")"),0)</f>
        <v>0</v>
      </c>
      <c r="J506" s="189">
        <f ca="1">IFERROR(__xludf.DUMMYFUNCTION("IMPORTRANGE(""https://docs.google.com/spreadsheets/d/1XL5vhW3sbDhbH9Cz0tuDiY8C3ctxq1tqvaCgkFb8cCA/edit?usp=sharing"",""อุดรธานี!J401"")"),0)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IFERROR(__xludf.DUMMYFUNCTION("IMPORTRANGE(""https://docs.google.com/spreadsheets/d/1XL5vhW3sbDhbH9Cz0tuDiY8C3ctxq1tqvaCgkFb8cCA/edit?usp=sharing"",""อุดรธานี!I402"")"),0)</f>
        <v>0</v>
      </c>
      <c r="J507" s="198">
        <f ca="1">IFERROR(__xludf.DUMMYFUNCTION("IMPORTRANGE(""https://docs.google.com/spreadsheets/d/1XL5vhW3sbDhbH9Cz0tuDiY8C3ctxq1tqvaCgkFb8cCA/edit?usp=sharing"",""อุดรธานี!J402"")"),0)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IFERROR(__xludf.DUMMYFUNCTION("IMPORTRANGE(""https://docs.google.com/spreadsheets/d/1XL5vhW3sbDhbH9Cz0tuDiY8C3ctxq1tqvaCgkFb8cCA/edit?usp=sharing"",""อุดรธานี!I403"")"),0)</f>
        <v>0</v>
      </c>
      <c r="J508" s="162">
        <f ca="1">IFERROR(__xludf.DUMMYFUNCTION("IMPORTRANGE(""https://docs.google.com/spreadsheets/d/1XL5vhW3sbDhbH9Cz0tuDiY8C3ctxq1tqvaCgkFb8cCA/edit?usp=sharing"",""อุดรธานี!J403"")"),0)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IFERROR(__xludf.DUMMYFUNCTION("IMPORTRANGE(""https://docs.google.com/spreadsheets/d/1XL5vhW3sbDhbH9Cz0tuDiY8C3ctxq1tqvaCgkFb8cCA/edit?usp=sharing"",""อุดรธานี!I404"")"),0)</f>
        <v>0</v>
      </c>
      <c r="J509" s="162">
        <f ca="1">IFERROR(__xludf.DUMMYFUNCTION("IMPORTRANGE(""https://docs.google.com/spreadsheets/d/1XL5vhW3sbDhbH9Cz0tuDiY8C3ctxq1tqvaCgkFb8cCA/edit?usp=sharing"",""อุดรธานี!J404"")"),0)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IFERROR(__xludf.DUMMYFUNCTION("IMPORTRANGE(""https://docs.google.com/spreadsheets/d/1XL5vhW3sbDhbH9Cz0tuDiY8C3ctxq1tqvaCgkFb8cCA/edit?usp=sharing"",""อุดรธานี!I405"")"),0)</f>
        <v>0</v>
      </c>
      <c r="J510" s="198">
        <f ca="1">IFERROR(__xludf.DUMMYFUNCTION("IMPORTRANGE(""https://docs.google.com/spreadsheets/d/1XL5vhW3sbDhbH9Cz0tuDiY8C3ctxq1tqvaCgkFb8cCA/edit?usp=sharing"",""อุดรธานี!J405"")"),0)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IFERROR(__xludf.DUMMYFUNCTION("IMPORTRANGE(""https://docs.google.com/spreadsheets/d/1XL5vhW3sbDhbH9Cz0tuDiY8C3ctxq1tqvaCgkFb8cCA/edit?usp=sharing"",""อุดรธานี!I406"")"),0)</f>
        <v>0</v>
      </c>
      <c r="J511" s="198">
        <f ca="1">IFERROR(__xludf.DUMMYFUNCTION("IMPORTRANGE(""https://docs.google.com/spreadsheets/d/1XL5vhW3sbDhbH9Cz0tuDiY8C3ctxq1tqvaCgkFb8cCA/edit?usp=sharing"",""อุดรธานี!J406"")"),0)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IFERROR(__xludf.DUMMYFUNCTION("IMPORTRANGE(""https://docs.google.com/spreadsheets/d/1XL5vhW3sbDhbH9Cz0tuDiY8C3ctxq1tqvaCgkFb8cCA/edit?usp=sharing"",""อุดรธานี!I407"")"),0)</f>
        <v>0</v>
      </c>
      <c r="J512" s="198">
        <f ca="1">IFERROR(__xludf.DUMMYFUNCTION("IMPORTRANGE(""https://docs.google.com/spreadsheets/d/1XL5vhW3sbDhbH9Cz0tuDiY8C3ctxq1tqvaCgkFb8cCA/edit?usp=sharing"",""อุดรธานี!J407"")"),0)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IFERROR(__xludf.DUMMYFUNCTION("IMPORTRANGE(""https://docs.google.com/spreadsheets/d/1XL5vhW3sbDhbH9Cz0tuDiY8C3ctxq1tqvaCgkFb8cCA/edit?usp=sharing"",""อุดรธานี!I408"")"),0)</f>
        <v>0</v>
      </c>
      <c r="J513" s="198">
        <f ca="1">IFERROR(__xludf.DUMMYFUNCTION("IMPORTRANGE(""https://docs.google.com/spreadsheets/d/1XL5vhW3sbDhbH9Cz0tuDiY8C3ctxq1tqvaCgkFb8cCA/edit?usp=sharing"",""อุดรธานี!J408"")"),0)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IFERROR(__xludf.DUMMYFUNCTION("IMPORTRANGE(""https://docs.google.com/spreadsheets/d/1XL5vhW3sbDhbH9Cz0tuDiY8C3ctxq1tqvaCgkFb8cCA/edit?usp=sharing"",""อุดรธานี!I409"")"),0)</f>
        <v>0</v>
      </c>
      <c r="J514" s="198">
        <f ca="1">IFERROR(__xludf.DUMMYFUNCTION("IMPORTRANGE(""https://docs.google.com/spreadsheets/d/1XL5vhW3sbDhbH9Cz0tuDiY8C3ctxq1tqvaCgkFb8cCA/edit?usp=sharing"",""อุดรธานี!J409"")"),0)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IFERROR(__xludf.DUMMYFUNCTION("IMPORTRANGE(""https://docs.google.com/spreadsheets/d/1XL5vhW3sbDhbH9Cz0tuDiY8C3ctxq1tqvaCgkFb8cCA/edit?usp=sharing"",""อุดรธานี!I410"")"),0)</f>
        <v>0</v>
      </c>
      <c r="J515" s="198">
        <f ca="1">IFERROR(__xludf.DUMMYFUNCTION("IMPORTRANGE(""https://docs.google.com/spreadsheets/d/1XL5vhW3sbDhbH9Cz0tuDiY8C3ctxq1tqvaCgkFb8cCA/edit?usp=sharing"",""อุดรธานี!J410"")"),0)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IFERROR(__xludf.DUMMYFUNCTION("IMPORTRANGE(""https://docs.google.com/spreadsheets/d/1XL5vhW3sbDhbH9Cz0tuDiY8C3ctxq1tqvaCgkFb8cCA/edit?usp=sharing"",""อุดรธานี!I411"")"),0)</f>
        <v>0</v>
      </c>
      <c r="J516" s="267">
        <f ca="1">IFERROR(__xludf.DUMMYFUNCTION("IMPORTRANGE(""https://docs.google.com/spreadsheets/d/1XL5vhW3sbDhbH9Cz0tuDiY8C3ctxq1tqvaCgkFb8cCA/edit?usp=sharing"",""อุดรธานี!J411"")"),0)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IFERROR(__xludf.DUMMYFUNCTION("IMPORTRANGE(""https://docs.google.com/spreadsheets/d/1XL5vhW3sbDhbH9Cz0tuDiY8C3ctxq1tqvaCgkFb8cCA/edit?usp=sharing"",""อุดรธานี!I412"")"),0)</f>
        <v>0</v>
      </c>
      <c r="J517" s="284">
        <f ca="1">IFERROR(__xludf.DUMMYFUNCTION("IMPORTRANGE(""https://docs.google.com/spreadsheets/d/1XL5vhW3sbDhbH9Cz0tuDiY8C3ctxq1tqvaCgkFb8cCA/edit?usp=sharing"",""อุดรธานี!J412"")"),0)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IFERROR(__xludf.DUMMYFUNCTION("IMPORTRANGE(""https://docs.google.com/spreadsheets/d/1XL5vhW3sbDhbH9Cz0tuDiY8C3ctxq1tqvaCgkFb8cCA/edit?usp=sharing"",""อุดรธานี!I413"")"),0)</f>
        <v>0</v>
      </c>
      <c r="J518" s="284">
        <f ca="1">IFERROR(__xludf.DUMMYFUNCTION("IMPORTRANGE(""https://docs.google.com/spreadsheets/d/1XL5vhW3sbDhbH9Cz0tuDiY8C3ctxq1tqvaCgkFb8cCA/edit?usp=sharing"",""อุดรธานี!J413"")"),0)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IFERROR(__xludf.DUMMYFUNCTION("IMPORTRANGE(""https://docs.google.com/spreadsheets/d/1XL5vhW3sbDhbH9Cz0tuDiY8C3ctxq1tqvaCgkFb8cCA/edit?usp=sharing"",""อุดรธานี!I414"")"),0)</f>
        <v>0</v>
      </c>
      <c r="J519" s="188">
        <f ca="1">IFERROR(__xludf.DUMMYFUNCTION("IMPORTRANGE(""https://docs.google.com/spreadsheets/d/1XL5vhW3sbDhbH9Cz0tuDiY8C3ctxq1tqvaCgkFb8cCA/edit?usp=sharing"",""อุดรธานี!J414"")"),0)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IFERROR(__xludf.DUMMYFUNCTION("IMPORTRANGE(""https://docs.google.com/spreadsheets/d/1XL5vhW3sbDhbH9Cz0tuDiY8C3ctxq1tqvaCgkFb8cCA/edit?usp=sharing"",""อุดรธานี!I415"")"),0)</f>
        <v>0</v>
      </c>
      <c r="J520" s="188">
        <f ca="1">IFERROR(__xludf.DUMMYFUNCTION("IMPORTRANGE(""https://docs.google.com/spreadsheets/d/1XL5vhW3sbDhbH9Cz0tuDiY8C3ctxq1tqvaCgkFb8cCA/edit?usp=sharing"",""อุดรธานี!J415"")"),0)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IFERROR(__xludf.DUMMYFUNCTION("IMPORTRANGE(""https://docs.google.com/spreadsheets/d/1XL5vhW3sbDhbH9Cz0tuDiY8C3ctxq1tqvaCgkFb8cCA/edit?usp=sharing"",""อุดรธานี!I416"")"),0)</f>
        <v>0</v>
      </c>
      <c r="J521" s="188">
        <f ca="1">IFERROR(__xludf.DUMMYFUNCTION("IMPORTRANGE(""https://docs.google.com/spreadsheets/d/1XL5vhW3sbDhbH9Cz0tuDiY8C3ctxq1tqvaCgkFb8cCA/edit?usp=sharing"",""อุดรธานี!J416"")"),0)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IFERROR(__xludf.DUMMYFUNCTION("IMPORTRANGE(""https://docs.google.com/spreadsheets/d/1XL5vhW3sbDhbH9Cz0tuDiY8C3ctxq1tqvaCgkFb8cCA/edit?usp=sharing"",""อุดรธานี!I417"")"),0)</f>
        <v>0</v>
      </c>
      <c r="J522" s="188">
        <f ca="1">IFERROR(__xludf.DUMMYFUNCTION("IMPORTRANGE(""https://docs.google.com/spreadsheets/d/1XL5vhW3sbDhbH9Cz0tuDiY8C3ctxq1tqvaCgkFb8cCA/edit?usp=sharing"",""อุดรธานี!J417"")"),0)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IFERROR(__xludf.DUMMYFUNCTION("IMPORTRANGE(""https://docs.google.com/spreadsheets/d/1XL5vhW3sbDhbH9Cz0tuDiY8C3ctxq1tqvaCgkFb8cCA/edit?usp=sharing"",""อุดรธานี!I418"")"),0)</f>
        <v>0</v>
      </c>
      <c r="J523" s="188">
        <f ca="1">IFERROR(__xludf.DUMMYFUNCTION("IMPORTRANGE(""https://docs.google.com/spreadsheets/d/1XL5vhW3sbDhbH9Cz0tuDiY8C3ctxq1tqvaCgkFb8cCA/edit?usp=sharing"",""อุดรธานี!J418"")"),0)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IFERROR(__xludf.DUMMYFUNCTION("IMPORTRANGE(""https://docs.google.com/spreadsheets/d/1XL5vhW3sbDhbH9Cz0tuDiY8C3ctxq1tqvaCgkFb8cCA/edit?usp=sharing"",""อุดรธานี!I419"")"),0)</f>
        <v>0</v>
      </c>
      <c r="J524" s="188">
        <f ca="1">IFERROR(__xludf.DUMMYFUNCTION("IMPORTRANGE(""https://docs.google.com/spreadsheets/d/1XL5vhW3sbDhbH9Cz0tuDiY8C3ctxq1tqvaCgkFb8cCA/edit?usp=sharing"",""อุดรธานี!J419"")"),0)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IFERROR(__xludf.DUMMYFUNCTION("IMPORTRANGE(""https://docs.google.com/spreadsheets/d/1XL5vhW3sbDhbH9Cz0tuDiY8C3ctxq1tqvaCgkFb8cCA/edit?usp=sharing"",""อุดรธานี!I420"")"),0)</f>
        <v>0</v>
      </c>
      <c r="J525" s="284">
        <f ca="1">IFERROR(__xludf.DUMMYFUNCTION("IMPORTRANGE(""https://docs.google.com/spreadsheets/d/1XL5vhW3sbDhbH9Cz0tuDiY8C3ctxq1tqvaCgkFb8cCA/edit?usp=sharing"",""อุดรธานี!J420"")"),0)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IFERROR(__xludf.DUMMYFUNCTION("IMPORTRANGE(""https://docs.google.com/spreadsheets/d/1XL5vhW3sbDhbH9Cz0tuDiY8C3ctxq1tqvaCgkFb8cCA/edit?usp=sharing"",""อุดรธานี!I421"")"),0)</f>
        <v>0</v>
      </c>
      <c r="J526" s="284">
        <f ca="1">IFERROR(__xludf.DUMMYFUNCTION("IMPORTRANGE(""https://docs.google.com/spreadsheets/d/1XL5vhW3sbDhbH9Cz0tuDiY8C3ctxq1tqvaCgkFb8cCA/edit?usp=sharing"",""อุดรธานี!J421"")"),0)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IFERROR(__xludf.DUMMYFUNCTION("IMPORTRANGE(""https://docs.google.com/spreadsheets/d/1XL5vhW3sbDhbH9Cz0tuDiY8C3ctxq1tqvaCgkFb8cCA/edit?usp=sharing"",""อุดรธานี!I422"")"),0)</f>
        <v>0</v>
      </c>
      <c r="J527" s="198">
        <f ca="1">IFERROR(__xludf.DUMMYFUNCTION("IMPORTRANGE(""https://docs.google.com/spreadsheets/d/1XL5vhW3sbDhbH9Cz0tuDiY8C3ctxq1tqvaCgkFb8cCA/edit?usp=sharing"",""อุดรธานี!J422"")"),0)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IFERROR(__xludf.DUMMYFUNCTION("IMPORTRANGE(""https://docs.google.com/spreadsheets/d/1XL5vhW3sbDhbH9Cz0tuDiY8C3ctxq1tqvaCgkFb8cCA/edit?usp=sharing"",""อุดรธานี!I423"")"),0)</f>
        <v>0</v>
      </c>
      <c r="J528" s="198">
        <f ca="1">IFERROR(__xludf.DUMMYFUNCTION("IMPORTRANGE(""https://docs.google.com/spreadsheets/d/1XL5vhW3sbDhbH9Cz0tuDiY8C3ctxq1tqvaCgkFb8cCA/edit?usp=sharing"",""อุดรธานี!J423"")"),0)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IFERROR(__xludf.DUMMYFUNCTION("IMPORTRANGE(""https://docs.google.com/spreadsheets/d/1XL5vhW3sbDhbH9Cz0tuDiY8C3ctxq1tqvaCgkFb8cCA/edit?usp=sharing"",""อุดรธานี!I424"")"),0)</f>
        <v>0</v>
      </c>
      <c r="J529" s="198">
        <f ca="1">IFERROR(__xludf.DUMMYFUNCTION("IMPORTRANGE(""https://docs.google.com/spreadsheets/d/1XL5vhW3sbDhbH9Cz0tuDiY8C3ctxq1tqvaCgkFb8cCA/edit?usp=sharing"",""อุดรธานี!J424"")"),0)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IFERROR(__xludf.DUMMYFUNCTION("IMPORTRANGE(""https://docs.google.com/spreadsheets/d/1XL5vhW3sbDhbH9Cz0tuDiY8C3ctxq1tqvaCgkFb8cCA/edit?usp=sharing"",""อุดรธานี!I425"")"),0)</f>
        <v>0</v>
      </c>
      <c r="J530" s="198">
        <f ca="1">IFERROR(__xludf.DUMMYFUNCTION("IMPORTRANGE(""https://docs.google.com/spreadsheets/d/1XL5vhW3sbDhbH9Cz0tuDiY8C3ctxq1tqvaCgkFb8cCA/edit?usp=sharing"",""อุดรธานี!J425"")"),0)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IFERROR(__xludf.DUMMYFUNCTION("IMPORTRANGE(""https://docs.google.com/spreadsheets/d/1XL5vhW3sbDhbH9Cz0tuDiY8C3ctxq1tqvaCgkFb8cCA/edit?usp=sharing"",""อุดรธานี!I426"")"),0)</f>
        <v>0</v>
      </c>
      <c r="J531" s="198">
        <f ca="1">IFERROR(__xludf.DUMMYFUNCTION("IMPORTRANGE(""https://docs.google.com/spreadsheets/d/1XL5vhW3sbDhbH9Cz0tuDiY8C3ctxq1tqvaCgkFb8cCA/edit?usp=sharing"",""อุดรธานี!J426"")"),0)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IFERROR(__xludf.DUMMYFUNCTION("IMPORTRANGE(""https://docs.google.com/spreadsheets/d/1XL5vhW3sbDhbH9Cz0tuDiY8C3ctxq1tqvaCgkFb8cCA/edit?usp=sharing"",""อุดรธานี!I427"")"),0)</f>
        <v>0</v>
      </c>
      <c r="J532" s="466">
        <f ca="1">IFERROR(__xludf.DUMMYFUNCTION("IMPORTRANGE(""https://docs.google.com/spreadsheets/d/1XL5vhW3sbDhbH9Cz0tuDiY8C3ctxq1tqvaCgkFb8cCA/edit?usp=sharing"",""อุดรธานี!J427"")"),0)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IFERROR(__xludf.DUMMYFUNCTION("IMPORTRANGE(""https://docs.google.com/spreadsheets/d/1XL5vhW3sbDhbH9Cz0tuDiY8C3ctxq1tqvaCgkFb8cCA/edit?usp=sharing"",""อุดรธานี!I428"")"),25)</f>
        <v>25</v>
      </c>
      <c r="J533" s="410">
        <f ca="1">IFERROR(__xludf.DUMMYFUNCTION("IMPORTRANGE(""https://docs.google.com/spreadsheets/d/1XL5vhW3sbDhbH9Cz0tuDiY8C3ctxq1tqvaCgkFb8cCA/edit?usp=sharing"",""อุดรธานี!J428"")"),25)</f>
        <v>25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IFERROR(__xludf.DUMMYFUNCTION("IMPORTRANGE(""https://docs.google.com/spreadsheets/d/1XL5vhW3sbDhbH9Cz0tuDiY8C3ctxq1tqvaCgkFb8cCA/edit?usp=sharing"",""อุดรธานี!L428"")"),36890)</f>
        <v>36890</v>
      </c>
      <c r="M533" s="412"/>
      <c r="N533" s="412">
        <f ca="1">IFERROR(__xludf.DUMMYFUNCTION("IMPORTRANGE(""https://docs.google.com/spreadsheets/d/1XL5vhW3sbDhbH9Cz0tuDiY8C3ctxq1tqvaCgkFb8cCA/edit?usp=sharing"",""อุดรธานี!M428"")"),29609)</f>
        <v>29609</v>
      </c>
      <c r="O533" s="412">
        <f t="shared" ref="O533:O537" ca="1" si="118">+IF(L533&gt;0,N533*100/L533,0)</f>
        <v>80.262943887232311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IFERROR(__xludf.DUMMYFUNCTION("IMPORTRANGE(""https://docs.google.com/spreadsheets/d/1XL5vhW3sbDhbH9Cz0tuDiY8C3ctxq1tqvaCgkFb8cCA/edit?usp=sharing"",""อุดรธานี!L429"")"),0)</f>
        <v>0</v>
      </c>
      <c r="M534" s="164"/>
      <c r="N534" s="169">
        <f ca="1">IFERROR(__xludf.DUMMYFUNCTION("IMPORTRANGE(""https://docs.google.com/spreadsheets/d/1XL5vhW3sbDhbH9Cz0tuDiY8C3ctxq1tqvaCgkFb8cCA/edit?usp=sharing"",""อุดรธานี!M429"")"),0)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IFERROR(__xludf.DUMMYFUNCTION("IMPORTRANGE(""https://docs.google.com/spreadsheets/d/1XL5vhW3sbDhbH9Cz0tuDiY8C3ctxq1tqvaCgkFb8cCA/edit?usp=sharing"",""อุดรธานี!L430"")"),36890)</f>
        <v>36890</v>
      </c>
      <c r="M535" s="165"/>
      <c r="N535" s="169">
        <f ca="1">IFERROR(__xludf.DUMMYFUNCTION("IMPORTRANGE(""https://docs.google.com/spreadsheets/d/1XL5vhW3sbDhbH9Cz0tuDiY8C3ctxq1tqvaCgkFb8cCA/edit?usp=sharing"",""อุดรธานี!M430"")"),29609)</f>
        <v>29609</v>
      </c>
      <c r="O535" s="169">
        <f t="shared" ca="1" si="118"/>
        <v>80.262943887232311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IFERROR(__xludf.DUMMYFUNCTION("IMPORTRANGE(""https://docs.google.com/spreadsheets/d/1XL5vhW3sbDhbH9Cz0tuDiY8C3ctxq1tqvaCgkFb8cCA/edit?usp=sharing"",""อุดรธานี!L431"")"),0)</f>
        <v>0</v>
      </c>
      <c r="M536" s="169"/>
      <c r="N536" s="169">
        <f ca="1">IFERROR(__xludf.DUMMYFUNCTION("IMPORTRANGE(""https://docs.google.com/spreadsheets/d/1XL5vhW3sbDhbH9Cz0tuDiY8C3ctxq1tqvaCgkFb8cCA/edit?usp=sharing"",""อุดรธานี!M431"")"),0)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IFERROR(__xludf.DUMMYFUNCTION("IMPORTRANGE(""https://docs.google.com/spreadsheets/d/1XL5vhW3sbDhbH9Cz0tuDiY8C3ctxq1tqvaCgkFb8cCA/edit?usp=sharing"",""อุดรธานี!L432"")"),36890)</f>
        <v>36890</v>
      </c>
      <c r="M537" s="169"/>
      <c r="N537" s="169">
        <f ca="1">IFERROR(__xludf.DUMMYFUNCTION("IMPORTRANGE(""https://docs.google.com/spreadsheets/d/1XL5vhW3sbDhbH9Cz0tuDiY8C3ctxq1tqvaCgkFb8cCA/edit?usp=sharing"",""อุดรธานี!M432"")"),29609)</f>
        <v>29609</v>
      </c>
      <c r="O537" s="169">
        <f t="shared" ca="1" si="118"/>
        <v>80.262943887232311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IFERROR(__xludf.DUMMYFUNCTION("IMPORTRANGE(""https://docs.google.com/spreadsheets/d/1XL5vhW3sbDhbH9Cz0tuDiY8C3ctxq1tqvaCgkFb8cCA/edit?usp=sharing"",""อุดรธานี!M433"")"),18345)</f>
        <v>18345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IFERROR(__xludf.DUMMYFUNCTION("IMPORTRANGE(""https://docs.google.com/spreadsheets/d/1XL5vhW3sbDhbH9Cz0tuDiY8C3ctxq1tqvaCgkFb8cCA/edit?usp=sharing"",""อุดรธานี!M434"")"),0)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IFERROR(__xludf.DUMMYFUNCTION("IMPORTRANGE(""https://docs.google.com/spreadsheets/d/1XL5vhW3sbDhbH9Cz0tuDiY8C3ctxq1tqvaCgkFb8cCA/edit?usp=sharing"",""อุดรธานี!M435"")"),0)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IFERROR(__xludf.DUMMYFUNCTION("IMPORTRANGE(""https://docs.google.com/spreadsheets/d/1XL5vhW3sbDhbH9Cz0tuDiY8C3ctxq1tqvaCgkFb8cCA/edit?usp=sharing"",""อุดรธานี!M436"")"),11264)</f>
        <v>11264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IFERROR(__xludf.DUMMYFUNCTION("IMPORTRANGE(""https://docs.google.com/spreadsheets/d/1XL5vhW3sbDhbH9Cz0tuDiY8C3ctxq1tqvaCgkFb8cCA/edit?usp=sharing"",""อุดรธานี!J438"")"),0)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IFERROR(__xludf.DUMMYFUNCTION("IMPORTRANGE(""https://docs.google.com/spreadsheets/d/1XL5vhW3sbDhbH9Cz0tuDiY8C3ctxq1tqvaCgkFb8cCA/edit?usp=sharing"",""อุดรธานี!J439"")"),1)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IFERROR(__xludf.DUMMYFUNCTION("IMPORTRANGE(""https://docs.google.com/spreadsheets/d/1XL5vhW3sbDhbH9Cz0tuDiY8C3ctxq1tqvaCgkFb8cCA/edit?usp=sharing"",""อุดรธานี!J440"")"),1)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IFERROR(__xludf.DUMMYFUNCTION("IMPORTRANGE(""https://docs.google.com/spreadsheets/d/1XL5vhW3sbDhbH9Cz0tuDiY8C3ctxq1tqvaCgkFb8cCA/edit?usp=sharing"",""อุดรธานี!J441"")"),1)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IFERROR(__xludf.DUMMYFUNCTION("IMPORTRANGE(""https://docs.google.com/spreadsheets/d/1XL5vhW3sbDhbH9Cz0tuDiY8C3ctxq1tqvaCgkFb8cCA/edit?usp=sharing"",""อุดรธานี!I442"")"),25)</f>
        <v>25</v>
      </c>
      <c r="J547" s="189">
        <f ca="1">IFERROR(__xludf.DUMMYFUNCTION("IMPORTRANGE(""https://docs.google.com/spreadsheets/d/1XL5vhW3sbDhbH9Cz0tuDiY8C3ctxq1tqvaCgkFb8cCA/edit?usp=sharing"",""อุดรธานี!J442"")"),25)</f>
        <v>25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IFERROR(__xludf.DUMMYFUNCTION("IMPORTRANGE(""https://docs.google.com/spreadsheets/d/1XL5vhW3sbDhbH9Cz0tuDiY8C3ctxq1tqvaCgkFb8cCA/edit?usp=sharing"",""อุดรธานี!J166"")"),0)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IFERROR(__xludf.DUMMYFUNCTION("IMPORTRANGE(""https://docs.google.com/spreadsheets/d/1XL5vhW3sbDhbH9Cz0tuDiY8C3ctxq1tqvaCgkFb8cCA/edit?usp=sharing"",""อุดรธานี!J444"")"),0)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IFERROR(__xludf.DUMMYFUNCTION("IMPORTRANGE(""https://docs.google.com/spreadsheets/d/1XL5vhW3sbDhbH9Cz0tuDiY8C3ctxq1tqvaCgkFb8cCA/edit?usp=sharing"",""อุดรธานี!J445"")"),0)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IFERROR(__xludf.DUMMYFUNCTION("IMPORTRANGE(""https://docs.google.com/spreadsheets/d/1XL5vhW3sbDhbH9Cz0tuDiY8C3ctxq1tqvaCgkFb8cCA/edit?usp=sharing"",""อุดรธานี!I446"")"),0)</f>
        <v>0</v>
      </c>
      <c r="J551" s="410">
        <f ca="1">IFERROR(__xludf.DUMMYFUNCTION("IMPORTRANGE(""https://docs.google.com/spreadsheets/d/1XL5vhW3sbDhbH9Cz0tuDiY8C3ctxq1tqvaCgkFb8cCA/edit?usp=sharing"",""อุดรธานี!J446"")"),0)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IFERROR(__xludf.DUMMYFUNCTION("IMPORTRANGE(""https://docs.google.com/spreadsheets/d/1XL5vhW3sbDhbH9Cz0tuDiY8C3ctxq1tqvaCgkFb8cCA/edit?usp=sharing"",""อุดรธานี!L446"")"),0)</f>
        <v>0</v>
      </c>
      <c r="M551" s="412"/>
      <c r="N551" s="412">
        <f ca="1">IFERROR(__xludf.DUMMYFUNCTION("IMPORTRANGE(""https://docs.google.com/spreadsheets/d/1XL5vhW3sbDhbH9Cz0tuDiY8C3ctxq1tqvaCgkFb8cCA/edit?usp=sharing"",""อุดรธานี!M446"")"),0)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IFERROR(__xludf.DUMMYFUNCTION("IMPORTRANGE(""https://docs.google.com/spreadsheets/d/1XL5vhW3sbDhbH9Cz0tuDiY8C3ctxq1tqvaCgkFb8cCA/edit?usp=sharing"",""อุดรธานี!L447"")"),0)</f>
        <v>0</v>
      </c>
      <c r="M552" s="164"/>
      <c r="N552" s="169">
        <f ca="1">IFERROR(__xludf.DUMMYFUNCTION("IMPORTRANGE(""https://docs.google.com/spreadsheets/d/1XL5vhW3sbDhbH9Cz0tuDiY8C3ctxq1tqvaCgkFb8cCA/edit?usp=sharing"",""อุดรธานี!M447"")"),0)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IFERROR(__xludf.DUMMYFUNCTION("IMPORTRANGE(""https://docs.google.com/spreadsheets/d/1XL5vhW3sbDhbH9Cz0tuDiY8C3ctxq1tqvaCgkFb8cCA/edit?usp=sharing"",""อุดรธานี!L448"")"),0)</f>
        <v>0</v>
      </c>
      <c r="M553" s="165"/>
      <c r="N553" s="169">
        <f ca="1">IFERROR(__xludf.DUMMYFUNCTION("IMPORTRANGE(""https://docs.google.com/spreadsheets/d/1XL5vhW3sbDhbH9Cz0tuDiY8C3ctxq1tqvaCgkFb8cCA/edit?usp=sharing"",""อุดรธานี!M448"")"),0)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IFERROR(__xludf.DUMMYFUNCTION("IMPORTRANGE(""https://docs.google.com/spreadsheets/d/1XL5vhW3sbDhbH9Cz0tuDiY8C3ctxq1tqvaCgkFb8cCA/edit?usp=sharing"",""อุดรธานี!L449"")"),0)</f>
        <v>0</v>
      </c>
      <c r="M554" s="169"/>
      <c r="N554" s="169">
        <f ca="1">IFERROR(__xludf.DUMMYFUNCTION("IMPORTRANGE(""https://docs.google.com/spreadsheets/d/1XL5vhW3sbDhbH9Cz0tuDiY8C3ctxq1tqvaCgkFb8cCA/edit?usp=sharing"",""อุดรธานี!M449"")"),0)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IFERROR(__xludf.DUMMYFUNCTION("IMPORTRANGE(""https://docs.google.com/spreadsheets/d/1XL5vhW3sbDhbH9Cz0tuDiY8C3ctxq1tqvaCgkFb8cCA/edit?usp=sharing"",""อุดรธานี!L450"")"),0)</f>
        <v>0</v>
      </c>
      <c r="M555" s="169"/>
      <c r="N555" s="169">
        <f ca="1">IFERROR(__xludf.DUMMYFUNCTION("IMPORTRANGE(""https://docs.google.com/spreadsheets/d/1XL5vhW3sbDhbH9Cz0tuDiY8C3ctxq1tqvaCgkFb8cCA/edit?usp=sharing"",""อุดรธานี!M450"")"),0)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IFERROR(__xludf.DUMMYFUNCTION("IMPORTRANGE(""https://docs.google.com/spreadsheets/d/1XL5vhW3sbDhbH9Cz0tuDiY8C3ctxq1tqvaCgkFb8cCA/edit?usp=sharing"",""อุดรธานี!M451"")"),0)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IFERROR(__xludf.DUMMYFUNCTION("IMPORTRANGE(""https://docs.google.com/spreadsheets/d/1XL5vhW3sbDhbH9Cz0tuDiY8C3ctxq1tqvaCgkFb8cCA/edit?usp=sharing"",""อุดรธานี!M452"")"),0)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IFERROR(__xludf.DUMMYFUNCTION("IMPORTRANGE(""https://docs.google.com/spreadsheets/d/1XL5vhW3sbDhbH9Cz0tuDiY8C3ctxq1tqvaCgkFb8cCA/edit?usp=sharing"",""อุดรธานี!M453"")"),0)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IFERROR(__xludf.DUMMYFUNCTION("IMPORTRANGE(""https://docs.google.com/spreadsheets/d/1XL5vhW3sbDhbH9Cz0tuDiY8C3ctxq1tqvaCgkFb8cCA/edit?usp=sharing"",""อุดรธานี!M454"")"),0)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IFERROR(__xludf.DUMMYFUNCTION("IMPORTRANGE(""https://docs.google.com/spreadsheets/d/1XL5vhW3sbDhbH9Cz0tuDiY8C3ctxq1tqvaCgkFb8cCA/edit?usp=sharing"",""อุดรธานี!I455"")"),0)</f>
        <v>0</v>
      </c>
      <c r="J560" s="162">
        <f ca="1">IFERROR(__xludf.DUMMYFUNCTION("IMPORTRANGE(""https://docs.google.com/spreadsheets/d/1XL5vhW3sbDhbH9Cz0tuDiY8C3ctxq1tqvaCgkFb8cCA/edit?usp=sharing"",""อุดรธานี!J455"")"),0)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IFERROR(__xludf.DUMMYFUNCTION("IMPORTRANGE(""https://docs.google.com/spreadsheets/d/1XL5vhW3sbDhbH9Cz0tuDiY8C3ctxq1tqvaCgkFb8cCA/edit?usp=sharing"",""อุดรธานี!I456"")"),0)</f>
        <v>0</v>
      </c>
      <c r="J561" s="204">
        <f ca="1">IFERROR(__xludf.DUMMYFUNCTION("IMPORTRANGE(""https://docs.google.com/spreadsheets/d/1XL5vhW3sbDhbH9Cz0tuDiY8C3ctxq1tqvaCgkFb8cCA/edit?usp=sharing"",""อุดรธานี!J456"")"),0)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IFERROR(__xludf.DUMMYFUNCTION("IMPORTRANGE(""https://docs.google.com/spreadsheets/d/1XL5vhW3sbDhbH9Cz0tuDiY8C3ctxq1tqvaCgkFb8cCA/edit?usp=sharing"",""อุดรธานี!I459"")"),5200)</f>
        <v>5200</v>
      </c>
      <c r="J564" s="371">
        <f ca="1">IFERROR(__xludf.DUMMYFUNCTION("IMPORTRANGE(""https://docs.google.com/spreadsheets/d/1XL5vhW3sbDhbH9Cz0tuDiY8C3ctxq1tqvaCgkFb8cCA/edit?usp=sharing"",""อุดรธานี!J459"")"),9933)</f>
        <v>9933</v>
      </c>
      <c r="K564" s="372">
        <f ca="1">IF(I564&gt;0,J564*100/I564,0)</f>
        <v>191.01923076923077</v>
      </c>
      <c r="L564" s="373">
        <f ca="1">IFERROR(__xludf.DUMMYFUNCTION("IMPORTRANGE(""https://docs.google.com/spreadsheets/d/1XL5vhW3sbDhbH9Cz0tuDiY8C3ctxq1tqvaCgkFb8cCA/edit?usp=sharing"",""อุดรธานี!L459"")"),172800)</f>
        <v>172800</v>
      </c>
      <c r="M564" s="373"/>
      <c r="N564" s="373">
        <f ca="1">IFERROR(__xludf.DUMMYFUNCTION("IMPORTRANGE(""https://docs.google.com/spreadsheets/d/1XL5vhW3sbDhbH9Cz0tuDiY8C3ctxq1tqvaCgkFb8cCA/edit?usp=sharing"",""อุดรธานี!M459"")"),124946.04)</f>
        <v>124946.04</v>
      </c>
      <c r="O564" s="373">
        <f t="shared" ref="O564:O568" ca="1" si="122">+IF(L564&gt;0,N564*100/L564,0)</f>
        <v>72.306736111111107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IFERROR(__xludf.DUMMYFUNCTION("IMPORTRANGE(""https://docs.google.com/spreadsheets/d/1XL5vhW3sbDhbH9Cz0tuDiY8C3ctxq1tqvaCgkFb8cCA/edit?usp=sharing"",""อุดรธานี!L460"")"),0)</f>
        <v>0</v>
      </c>
      <c r="M565" s="164"/>
      <c r="N565" s="169">
        <f ca="1">IFERROR(__xludf.DUMMYFUNCTION("IMPORTRANGE(""https://docs.google.com/spreadsheets/d/1XL5vhW3sbDhbH9Cz0tuDiY8C3ctxq1tqvaCgkFb8cCA/edit?usp=sharing"",""อุดรธานี!M460"")"),0)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IFERROR(__xludf.DUMMYFUNCTION("IMPORTRANGE(""https://docs.google.com/spreadsheets/d/1XL5vhW3sbDhbH9Cz0tuDiY8C3ctxq1tqvaCgkFb8cCA/edit?usp=sharing"",""อุดรธานี!L461"")"),172800)</f>
        <v>172800</v>
      </c>
      <c r="M566" s="165"/>
      <c r="N566" s="169">
        <f ca="1">IFERROR(__xludf.DUMMYFUNCTION("IMPORTRANGE(""https://docs.google.com/spreadsheets/d/1XL5vhW3sbDhbH9Cz0tuDiY8C3ctxq1tqvaCgkFb8cCA/edit?usp=sharing"",""อุดรธานี!M461"")"),124946.04)</f>
        <v>124946.04</v>
      </c>
      <c r="O566" s="169">
        <f t="shared" ca="1" si="122"/>
        <v>72.306736111111107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IFERROR(__xludf.DUMMYFUNCTION("IMPORTRANGE(""https://docs.google.com/spreadsheets/d/1XL5vhW3sbDhbH9Cz0tuDiY8C3ctxq1tqvaCgkFb8cCA/edit?usp=sharing"",""อุดรธานี!L462"")"),0)</f>
        <v>0</v>
      </c>
      <c r="M567" s="169"/>
      <c r="N567" s="169">
        <f ca="1">IFERROR(__xludf.DUMMYFUNCTION("IMPORTRANGE(""https://docs.google.com/spreadsheets/d/1XL5vhW3sbDhbH9Cz0tuDiY8C3ctxq1tqvaCgkFb8cCA/edit?usp=sharing"",""อุดรธานี!M462"")"),0)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IFERROR(__xludf.DUMMYFUNCTION("IMPORTRANGE(""https://docs.google.com/spreadsheets/d/1XL5vhW3sbDhbH9Cz0tuDiY8C3ctxq1tqvaCgkFb8cCA/edit?usp=sharing"",""อุดรธานี!L463"")"),172800)</f>
        <v>172800</v>
      </c>
      <c r="M568" s="169"/>
      <c r="N568" s="169">
        <f ca="1">IFERROR(__xludf.DUMMYFUNCTION("IMPORTRANGE(""https://docs.google.com/spreadsheets/d/1XL5vhW3sbDhbH9Cz0tuDiY8C3ctxq1tqvaCgkFb8cCA/edit?usp=sharing"",""อุดรธานี!M463"")"),124946.04)</f>
        <v>124946.04</v>
      </c>
      <c r="O568" s="169">
        <f t="shared" ca="1" si="122"/>
        <v>72.306736111111107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IFERROR(__xludf.DUMMYFUNCTION("IMPORTRANGE(""https://docs.google.com/spreadsheets/d/1XL5vhW3sbDhbH9Cz0tuDiY8C3ctxq1tqvaCgkFb8cCA/edit?usp=sharing"",""อุดรธานี!M464"")"),0)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IFERROR(__xludf.DUMMYFUNCTION("IMPORTRANGE(""https://docs.google.com/spreadsheets/d/1XL5vhW3sbDhbH9Cz0tuDiY8C3ctxq1tqvaCgkFb8cCA/edit?usp=sharing"",""อุดรธานี!M465"")"),0)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IFERROR(__xludf.DUMMYFUNCTION("IMPORTRANGE(""https://docs.google.com/spreadsheets/d/1XL5vhW3sbDhbH9Cz0tuDiY8C3ctxq1tqvaCgkFb8cCA/edit?usp=sharing"",""อุดรธานี!M466"")"),64580.64)</f>
        <v>64580.639999999999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IFERROR(__xludf.DUMMYFUNCTION("IMPORTRANGE(""https://docs.google.com/spreadsheets/d/1XL5vhW3sbDhbH9Cz0tuDiY8C3ctxq1tqvaCgkFb8cCA/edit?usp=sharing"",""อุดรธานี!M467"")"),60365.4)</f>
        <v>60365.4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IFERROR(__xludf.DUMMYFUNCTION("IMPORTRANGE(""https://docs.google.com/spreadsheets/d/1XL5vhW3sbDhbH9Cz0tuDiY8C3ctxq1tqvaCgkFb8cCA/edit?usp=sharing"",""อุดรธานี!I468"")"),5200)</f>
        <v>5200</v>
      </c>
      <c r="J573" s="420">
        <f ca="1">IFERROR(__xludf.DUMMYFUNCTION("IMPORTRANGE(""https://docs.google.com/spreadsheets/d/1XL5vhW3sbDhbH9Cz0tuDiY8C3ctxq1tqvaCgkFb8cCA/edit?usp=sharing"",""อุดรธานี!J468"")"),9933)</f>
        <v>9933</v>
      </c>
      <c r="K573" s="202">
        <f ca="1">IF(I573&gt;0,J573*100/I573,0)</f>
        <v>191.01923076923077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IFERROR(__xludf.DUMMYFUNCTION("IMPORTRANGE(""https://docs.google.com/spreadsheets/d/1XL5vhW3sbDhbH9Cz0tuDiY8C3ctxq1tqvaCgkFb8cCA/edit?usp=sharing"",""อุดรธานี!I470"")"),0)</f>
        <v>0</v>
      </c>
      <c r="J575" s="198">
        <f ca="1">IFERROR(__xludf.DUMMYFUNCTION("IMPORTRANGE(""https://docs.google.com/spreadsheets/d/1XL5vhW3sbDhbH9Cz0tuDiY8C3ctxq1tqvaCgkFb8cCA/edit?usp=sharing"",""อุดรธานี!J470"")"),3)</f>
        <v>3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IFERROR(__xludf.DUMMYFUNCTION("IMPORTRANGE(""https://docs.google.com/spreadsheets/d/1XL5vhW3sbDhbH9Cz0tuDiY8C3ctxq1tqvaCgkFb8cCA/edit?usp=sharing"",""อุดรธานี!I471"")"),0)</f>
        <v>0</v>
      </c>
      <c r="J576" s="198">
        <f ca="1">IFERROR(__xludf.DUMMYFUNCTION("IMPORTRANGE(""https://docs.google.com/spreadsheets/d/1XL5vhW3sbDhbH9Cz0tuDiY8C3ctxq1tqvaCgkFb8cCA/edit?usp=sharing"",""อุดรธานี!J471"")"),141)</f>
        <v>141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IFERROR(__xludf.DUMMYFUNCTION("IMPORTRANGE(""https://docs.google.com/spreadsheets/d/1XL5vhW3sbDhbH9Cz0tuDiY8C3ctxq1tqvaCgkFb8cCA/edit?usp=sharing"",""อุดรธานี!I472"")"),0)</f>
        <v>0</v>
      </c>
      <c r="J577" s="189">
        <f ca="1">IFERROR(__xludf.DUMMYFUNCTION("IMPORTRANGE(""https://docs.google.com/spreadsheets/d/1XL5vhW3sbDhbH9Cz0tuDiY8C3ctxq1tqvaCgkFb8cCA/edit?usp=sharing"",""อุดรธานี!J472"")"),9554)</f>
        <v>9554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IFERROR(__xludf.DUMMYFUNCTION("IMPORTRANGE(""https://docs.google.com/spreadsheets/d/1XL5vhW3sbDhbH9Cz0tuDiY8C3ctxq1tqvaCgkFb8cCA/edit?usp=sharing"",""อุดรธานี!I473"")"),0)</f>
        <v>0</v>
      </c>
      <c r="J578" s="198">
        <f ca="1">IFERROR(__xludf.DUMMYFUNCTION("IMPORTRANGE(""https://docs.google.com/spreadsheets/d/1XL5vhW3sbDhbH9Cz0tuDiY8C3ctxq1tqvaCgkFb8cCA/edit?usp=sharing"",""อุดรธานี!J473"")"),97)</f>
        <v>97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IFERROR(__xludf.DUMMYFUNCTION("IMPORTRANGE(""https://docs.google.com/spreadsheets/d/1XL5vhW3sbDhbH9Cz0tuDiY8C3ctxq1tqvaCgkFb8cCA/edit?usp=sharing"",""อุดรธานี!I474"")"),0)</f>
        <v>0</v>
      </c>
      <c r="J579" s="198">
        <f ca="1">IFERROR(__xludf.DUMMYFUNCTION("IMPORTRANGE(""https://docs.google.com/spreadsheets/d/1XL5vhW3sbDhbH9Cz0tuDiY8C3ctxq1tqvaCgkFb8cCA/edit?usp=sharing"",""อุดรธานี!J474"")"),141)</f>
        <v>141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IFERROR(__xludf.DUMMYFUNCTION("IMPORTRANGE(""https://docs.google.com/spreadsheets/d/1XL5vhW3sbDhbH9Cz0tuDiY8C3ctxq1tqvaCgkFb8cCA/edit?usp=sharing"",""อุดรธานี!I475"")"),380)</f>
        <v>380</v>
      </c>
      <c r="J580" s="371">
        <f ca="1">IFERROR(__xludf.DUMMYFUNCTION("IMPORTRANGE(""https://docs.google.com/spreadsheets/d/1XL5vhW3sbDhbH9Cz0tuDiY8C3ctxq1tqvaCgkFb8cCA/edit?usp=sharing"",""อุดรธานี!J475"")"),1)</f>
        <v>1</v>
      </c>
      <c r="K580" s="372">
        <f ca="1">IF(I580&gt;0,J580*100/I580,0)</f>
        <v>0.26315789473684209</v>
      </c>
      <c r="L580" s="373">
        <f ca="1">IFERROR(__xludf.DUMMYFUNCTION("IMPORTRANGE(""https://docs.google.com/spreadsheets/d/1XL5vhW3sbDhbH9Cz0tuDiY8C3ctxq1tqvaCgkFb8cCA/edit?usp=sharing"",""อุดรธานี!L475"")"),493580)</f>
        <v>493580</v>
      </c>
      <c r="M580" s="373"/>
      <c r="N580" s="373">
        <f ca="1">IFERROR(__xludf.DUMMYFUNCTION("IMPORTRANGE(""https://docs.google.com/spreadsheets/d/1XL5vhW3sbDhbH9Cz0tuDiY8C3ctxq1tqvaCgkFb8cCA/edit?usp=sharing"",""อุดรธานี!M475"")"),406004.32)</f>
        <v>406004.32</v>
      </c>
      <c r="O580" s="373">
        <f t="shared" ref="O580:O584" ca="1" si="124">+IF(L580&gt;0,N580*100/L580,0)</f>
        <v>82.2570444507476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IFERROR(__xludf.DUMMYFUNCTION("IMPORTRANGE(""https://docs.google.com/spreadsheets/d/1XL5vhW3sbDhbH9Cz0tuDiY8C3ctxq1tqvaCgkFb8cCA/edit?usp=sharing"",""อุดรธานี!L476"")"),0)</f>
        <v>0</v>
      </c>
      <c r="M581" s="164"/>
      <c r="N581" s="169">
        <f ca="1">IFERROR(__xludf.DUMMYFUNCTION("IMPORTRANGE(""https://docs.google.com/spreadsheets/d/1XL5vhW3sbDhbH9Cz0tuDiY8C3ctxq1tqvaCgkFb8cCA/edit?usp=sharing"",""อุดรธานี!M476"")"),0)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IFERROR(__xludf.DUMMYFUNCTION("IMPORTRANGE(""https://docs.google.com/spreadsheets/d/1XL5vhW3sbDhbH9Cz0tuDiY8C3ctxq1tqvaCgkFb8cCA/edit?usp=sharing"",""อุดรธานี!L477"")"),493580)</f>
        <v>493580</v>
      </c>
      <c r="M582" s="165"/>
      <c r="N582" s="169">
        <f ca="1">IFERROR(__xludf.DUMMYFUNCTION("IMPORTRANGE(""https://docs.google.com/spreadsheets/d/1XL5vhW3sbDhbH9Cz0tuDiY8C3ctxq1tqvaCgkFb8cCA/edit?usp=sharing"",""อุดรธานี!M477"")"),406004.32)</f>
        <v>406004.32</v>
      </c>
      <c r="O582" s="169">
        <f t="shared" ca="1" si="124"/>
        <v>82.2570444507476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IFERROR(__xludf.DUMMYFUNCTION("IMPORTRANGE(""https://docs.google.com/spreadsheets/d/1XL5vhW3sbDhbH9Cz0tuDiY8C3ctxq1tqvaCgkFb8cCA/edit?usp=sharing"",""อุดรธานี!L478"")"),0)</f>
        <v>0</v>
      </c>
      <c r="M583" s="169"/>
      <c r="N583" s="169">
        <f ca="1">IFERROR(__xludf.DUMMYFUNCTION("IMPORTRANGE(""https://docs.google.com/spreadsheets/d/1XL5vhW3sbDhbH9Cz0tuDiY8C3ctxq1tqvaCgkFb8cCA/edit?usp=sharing"",""อุดรธานี!M478"")"),0)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IFERROR(__xludf.DUMMYFUNCTION("IMPORTRANGE(""https://docs.google.com/spreadsheets/d/1XL5vhW3sbDhbH9Cz0tuDiY8C3ctxq1tqvaCgkFb8cCA/edit?usp=sharing"",""อุดรธานี!L479"")"),493580)</f>
        <v>493580</v>
      </c>
      <c r="M584" s="169"/>
      <c r="N584" s="169">
        <f ca="1">IFERROR(__xludf.DUMMYFUNCTION("IMPORTRANGE(""https://docs.google.com/spreadsheets/d/1XL5vhW3sbDhbH9Cz0tuDiY8C3ctxq1tqvaCgkFb8cCA/edit?usp=sharing"",""อุดรธานี!M479"")"),406004.32)</f>
        <v>406004.32</v>
      </c>
      <c r="O584" s="169">
        <f t="shared" ca="1" si="124"/>
        <v>82.2570444507476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IFERROR(__xludf.DUMMYFUNCTION("IMPORTRANGE(""https://docs.google.com/spreadsheets/d/1XL5vhW3sbDhbH9Cz0tuDiY8C3ctxq1tqvaCgkFb8cCA/edit?usp=sharing"",""อุดรธานี!M480"")"),0)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IFERROR(__xludf.DUMMYFUNCTION("IMPORTRANGE(""https://docs.google.com/spreadsheets/d/1XL5vhW3sbDhbH9Cz0tuDiY8C3ctxq1tqvaCgkFb8cCA/edit?usp=sharing"",""อุดรธานี!M481"")"),0)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IFERROR(__xludf.DUMMYFUNCTION("IMPORTRANGE(""https://docs.google.com/spreadsheets/d/1XL5vhW3sbDhbH9Cz0tuDiY8C3ctxq1tqvaCgkFb8cCA/edit?usp=sharing"",""อุดรธานี!M482"")"),129504.29)</f>
        <v>129504.29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IFERROR(__xludf.DUMMYFUNCTION("IMPORTRANGE(""https://docs.google.com/spreadsheets/d/1XL5vhW3sbDhbH9Cz0tuDiY8C3ctxq1tqvaCgkFb8cCA/edit?usp=sharing"",""อุดรธานี!M483"")"),276500.03)</f>
        <v>276500.03000000003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IFERROR(__xludf.DUMMYFUNCTION("IMPORTRANGE(""https://docs.google.com/spreadsheets/d/1XL5vhW3sbDhbH9Cz0tuDiY8C3ctxq1tqvaCgkFb8cCA/edit?usp=sharing"",""อุดรธานี!I484"")"),380)</f>
        <v>380</v>
      </c>
      <c r="J589" s="188">
        <f ca="1">IFERROR(__xludf.DUMMYFUNCTION("IMPORTRANGE(""https://docs.google.com/spreadsheets/d/1XL5vhW3sbDhbH9Cz0tuDiY8C3ctxq1tqvaCgkFb8cCA/edit?usp=sharing"",""อุดรธานี!J484"")"),459)</f>
        <v>459</v>
      </c>
      <c r="K589" s="163">
        <f t="shared" ref="K589:K596" ca="1" si="125">IF(I589&gt;0,J589*100/I589,0)</f>
        <v>120.78947368421052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IFERROR(__xludf.DUMMYFUNCTION("IMPORTRANGE(""https://docs.google.com/spreadsheets/d/1XL5vhW3sbDhbH9Cz0tuDiY8C3ctxq1tqvaCgkFb8cCA/edit?usp=sharing"",""อุดรธานี!I485"")"),0)</f>
        <v>0</v>
      </c>
      <c r="J590" s="188">
        <f ca="1">IFERROR(__xludf.DUMMYFUNCTION("IMPORTRANGE(""https://docs.google.com/spreadsheets/d/1XL5vhW3sbDhbH9Cz0tuDiY8C3ctxq1tqvaCgkFb8cCA/edit?usp=sharing"",""อุดรธานี!J485"")"),241.72)</f>
        <v>241.72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IFERROR(__xludf.DUMMYFUNCTION("IMPORTRANGE(""https://docs.google.com/spreadsheets/d/1XL5vhW3sbDhbH9Cz0tuDiY8C3ctxq1tqvaCgkFb8cCA/edit?usp=sharing"",""อุดรธานี!I486"")"),380)</f>
        <v>380</v>
      </c>
      <c r="J591" s="188">
        <f ca="1">IFERROR(__xludf.DUMMYFUNCTION("IMPORTRANGE(""https://docs.google.com/spreadsheets/d/1XL5vhW3sbDhbH9Cz0tuDiY8C3ctxq1tqvaCgkFb8cCA/edit?usp=sharing"",""อุดรธานี!J486"")"),181)</f>
        <v>181</v>
      </c>
      <c r="K591" s="163">
        <f t="shared" ca="1" si="125"/>
        <v>47.631578947368418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IFERROR(__xludf.DUMMYFUNCTION("IMPORTRANGE(""https://docs.google.com/spreadsheets/d/1XL5vhW3sbDhbH9Cz0tuDiY8C3ctxq1tqvaCgkFb8cCA/edit?usp=sharing"",""อุดรธานี!I487"")"),0)</f>
        <v>0</v>
      </c>
      <c r="J592" s="188">
        <f ca="1">IFERROR(__xludf.DUMMYFUNCTION("IMPORTRANGE(""https://docs.google.com/spreadsheets/d/1XL5vhW3sbDhbH9Cz0tuDiY8C3ctxq1tqvaCgkFb8cCA/edit?usp=sharing"",""อุดรธานี!J487"")"),92.46)</f>
        <v>92.46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IFERROR(__xludf.DUMMYFUNCTION("IMPORTRANGE(""https://docs.google.com/spreadsheets/d/1XL5vhW3sbDhbH9Cz0tuDiY8C3ctxq1tqvaCgkFb8cCA/edit?usp=sharing"",""อุดรธานี!I488"")"),380)</f>
        <v>380</v>
      </c>
      <c r="J593" s="188">
        <f ca="1">IFERROR(__xludf.DUMMYFUNCTION("IMPORTRANGE(""https://docs.google.com/spreadsheets/d/1XL5vhW3sbDhbH9Cz0tuDiY8C3ctxq1tqvaCgkFb8cCA/edit?usp=sharing"",""อุดรธานี!J488"")"),180)</f>
        <v>180</v>
      </c>
      <c r="K593" s="163">
        <f t="shared" ca="1" si="125"/>
        <v>47.368421052631582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IFERROR(__xludf.DUMMYFUNCTION("IMPORTRANGE(""https://docs.google.com/spreadsheets/d/1XL5vhW3sbDhbH9Cz0tuDiY8C3ctxq1tqvaCgkFb8cCA/edit?usp=sharing"",""อุดรธานี!I489"")"),0)</f>
        <v>0</v>
      </c>
      <c r="J594" s="188">
        <f ca="1">IFERROR(__xludf.DUMMYFUNCTION("IMPORTRANGE(""https://docs.google.com/spreadsheets/d/1XL5vhW3sbDhbH9Cz0tuDiY8C3ctxq1tqvaCgkFb8cCA/edit?usp=sharing"",""อุดรธานี!J489"")"),91.73)</f>
        <v>91.73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IFERROR(__xludf.DUMMYFUNCTION("IMPORTRANGE(""https://docs.google.com/spreadsheets/d/1XL5vhW3sbDhbH9Cz0tuDiY8C3ctxq1tqvaCgkFb8cCA/edit?usp=sharing"",""อุดรธานี!I490"")"),380)</f>
        <v>380</v>
      </c>
      <c r="J595" s="188">
        <f ca="1">IFERROR(__xludf.DUMMYFUNCTION("IMPORTRANGE(""https://docs.google.com/spreadsheets/d/1XL5vhW3sbDhbH9Cz0tuDiY8C3ctxq1tqvaCgkFb8cCA/edit?usp=sharing"",""อุดรธานี!J490"")"),1)</f>
        <v>1</v>
      </c>
      <c r="K595" s="163">
        <f t="shared" ca="1" si="125"/>
        <v>0.26315789473684209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IFERROR(__xludf.DUMMYFUNCTION("IMPORTRANGE(""https://docs.google.com/spreadsheets/d/1XL5vhW3sbDhbH9Cz0tuDiY8C3ctxq1tqvaCgkFb8cCA/edit?usp=sharing"",""อุดรธานี!I491"")"),0)</f>
        <v>0</v>
      </c>
      <c r="J596" s="241">
        <f ca="1">IFERROR(__xludf.DUMMYFUNCTION("IMPORTRANGE(""https://docs.google.com/spreadsheets/d/1XL5vhW3sbDhbH9Cz0tuDiY8C3ctxq1tqvaCgkFb8cCA/edit?usp=sharing"",""อุดรธานี!J491"")"),1.29)</f>
        <v>1.29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IFERROR(__xludf.DUMMYFUNCTION("IMPORTRANGE(""https://docs.google.com/spreadsheets/d/1XL5vhW3sbDhbH9Cz0tuDiY8C3ctxq1tqvaCgkFb8cCA/edit?usp=sharing"",""อุดรธานี!I492"")"),50)</f>
        <v>50</v>
      </c>
      <c r="J597" s="487">
        <f ca="1">IFERROR(__xludf.DUMMYFUNCTION("IMPORTRANGE(""https://docs.google.com/spreadsheets/d/1XL5vhW3sbDhbH9Cz0tuDiY8C3ctxq1tqvaCgkFb8cCA/edit?usp=sharing"",""อุดรธานี!J492"")"),0)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IFERROR(__xludf.DUMMYFUNCTION("IMPORTRANGE(""https://docs.google.com/spreadsheets/d/1XL5vhW3sbDhbH9Cz0tuDiY8C3ctxq1tqvaCgkFb8cCA/edit?usp=sharing"",""อุดรธานี!L492"")"),4550)</f>
        <v>4550</v>
      </c>
      <c r="M597" s="412"/>
      <c r="N597" s="412">
        <f ca="1">IFERROR(__xludf.DUMMYFUNCTION("IMPORTRANGE(""https://docs.google.com/spreadsheets/d/1XL5vhW3sbDhbH9Cz0tuDiY8C3ctxq1tqvaCgkFb8cCA/edit?usp=sharing"",""อุดรธานี!M492"")"),780)</f>
        <v>780</v>
      </c>
      <c r="O597" s="412">
        <f t="shared" ref="O597:O601" ca="1" si="126">+IF(L597&gt;0,N597*100/L597,0)</f>
        <v>17.142857142857142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IFERROR(__xludf.DUMMYFUNCTION("IMPORTRANGE(""https://docs.google.com/spreadsheets/d/1XL5vhW3sbDhbH9Cz0tuDiY8C3ctxq1tqvaCgkFb8cCA/edit?usp=sharing"",""อุดรธานี!L493"")"),0)</f>
        <v>0</v>
      </c>
      <c r="M598" s="164"/>
      <c r="N598" s="169">
        <f ca="1">IFERROR(__xludf.DUMMYFUNCTION("IMPORTRANGE(""https://docs.google.com/spreadsheets/d/1XL5vhW3sbDhbH9Cz0tuDiY8C3ctxq1tqvaCgkFb8cCA/edit?usp=sharing"",""อุดรธานี!M493"")"),0)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IFERROR(__xludf.DUMMYFUNCTION("IMPORTRANGE(""https://docs.google.com/spreadsheets/d/1XL5vhW3sbDhbH9Cz0tuDiY8C3ctxq1tqvaCgkFb8cCA/edit?usp=sharing"",""อุดรธานี!L494"")"),4550)</f>
        <v>4550</v>
      </c>
      <c r="M599" s="165"/>
      <c r="N599" s="169">
        <f ca="1">IFERROR(__xludf.DUMMYFUNCTION("IMPORTRANGE(""https://docs.google.com/spreadsheets/d/1XL5vhW3sbDhbH9Cz0tuDiY8C3ctxq1tqvaCgkFb8cCA/edit?usp=sharing"",""อุดรธานี!M494"")"),780)</f>
        <v>780</v>
      </c>
      <c r="O599" s="169">
        <f t="shared" ca="1" si="126"/>
        <v>17.142857142857142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IFERROR(__xludf.DUMMYFUNCTION("IMPORTRANGE(""https://docs.google.com/spreadsheets/d/1XL5vhW3sbDhbH9Cz0tuDiY8C3ctxq1tqvaCgkFb8cCA/edit?usp=sharing"",""อุดรธานี!L495"")"),0)</f>
        <v>0</v>
      </c>
      <c r="M600" s="169"/>
      <c r="N600" s="169">
        <f ca="1">IFERROR(__xludf.DUMMYFUNCTION("IMPORTRANGE(""https://docs.google.com/spreadsheets/d/1XL5vhW3sbDhbH9Cz0tuDiY8C3ctxq1tqvaCgkFb8cCA/edit?usp=sharing"",""อุดรธานี!M495"")"),0)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IFERROR(__xludf.DUMMYFUNCTION("IMPORTRANGE(""https://docs.google.com/spreadsheets/d/1XL5vhW3sbDhbH9Cz0tuDiY8C3ctxq1tqvaCgkFb8cCA/edit?usp=sharing"",""อุดรธานี!L496"")"),4550)</f>
        <v>4550</v>
      </c>
      <c r="M601" s="169"/>
      <c r="N601" s="169">
        <f ca="1">IFERROR(__xludf.DUMMYFUNCTION("IMPORTRANGE(""https://docs.google.com/spreadsheets/d/1XL5vhW3sbDhbH9Cz0tuDiY8C3ctxq1tqvaCgkFb8cCA/edit?usp=sharing"",""อุดรธานี!M496"")"),780)</f>
        <v>780</v>
      </c>
      <c r="O601" s="169">
        <f t="shared" ca="1" si="126"/>
        <v>17.142857142857142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IFERROR(__xludf.DUMMYFUNCTION("IMPORTRANGE(""https://docs.google.com/spreadsheets/d/1XL5vhW3sbDhbH9Cz0tuDiY8C3ctxq1tqvaCgkFb8cCA/edit?usp=sharing"",""อุดรธานี!M497"")"),0)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IFERROR(__xludf.DUMMYFUNCTION("IMPORTRANGE(""https://docs.google.com/spreadsheets/d/1XL5vhW3sbDhbH9Cz0tuDiY8C3ctxq1tqvaCgkFb8cCA/edit?usp=sharing"",""อุดรธานี!M498"")"),0)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IFERROR(__xludf.DUMMYFUNCTION("IMPORTRANGE(""https://docs.google.com/spreadsheets/d/1XL5vhW3sbDhbH9Cz0tuDiY8C3ctxq1tqvaCgkFb8cCA/edit?usp=sharing"",""อุดรธานี!M499"")"),0)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IFERROR(__xludf.DUMMYFUNCTION("IMPORTRANGE(""https://docs.google.com/spreadsheets/d/1XL5vhW3sbDhbH9Cz0tuDiY8C3ctxq1tqvaCgkFb8cCA/edit?usp=sharing"",""อุดรธานี!M500"")"),780)</f>
        <v>780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IFERROR(__xludf.DUMMYFUNCTION("IMPORTRANGE(""https://docs.google.com/spreadsheets/d/1XL5vhW3sbDhbH9Cz0tuDiY8C3ctxq1tqvaCgkFb8cCA/edit?usp=sharing"",""อุดรธานี!J502"")"),0)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IFERROR(__xludf.DUMMYFUNCTION("IMPORTRANGE(""https://docs.google.com/spreadsheets/d/1XL5vhW3sbDhbH9Cz0tuDiY8C3ctxq1tqvaCgkFb8cCA/edit?usp=sharing"",""อุดรธานี!J503"")"),1)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539"/>
      <c r="B609" s="540"/>
      <c r="C609" s="540"/>
      <c r="D609" s="541"/>
      <c r="E609" s="542" t="s">
        <v>46</v>
      </c>
      <c r="F609" s="543"/>
      <c r="G609" s="544"/>
      <c r="H609" s="545"/>
      <c r="I609" s="546"/>
      <c r="J609" s="546">
        <f ca="1">IFERROR(__xludf.DUMMYFUNCTION("IMPORTRANGE(""https://docs.google.com/spreadsheets/d/1XL5vhW3sbDhbH9Cz0tuDiY8C3ctxq1tqvaCgkFb8cCA/edit?usp=sharing"",""อุดรธานี!J166"")"),0)</f>
        <v>0</v>
      </c>
      <c r="K609" s="547"/>
      <c r="L609" s="548"/>
      <c r="M609" s="548"/>
      <c r="N609" s="548"/>
      <c r="O609" s="548"/>
      <c r="P609" s="548"/>
    </row>
    <row r="610" spans="1:16" ht="21.75" hidden="1" customHeight="1" x14ac:dyDescent="0.35">
      <c r="A610" s="539"/>
      <c r="B610" s="540"/>
      <c r="C610" s="540"/>
      <c r="D610" s="541"/>
      <c r="E610" s="542" t="s">
        <v>47</v>
      </c>
      <c r="F610" s="543"/>
      <c r="G610" s="544"/>
      <c r="H610" s="545"/>
      <c r="I610" s="546"/>
      <c r="J610" s="546">
        <f ca="1">IFERROR(__xludf.DUMMYFUNCTION("IMPORTRANGE(""https://docs.google.com/spreadsheets/d/1XL5vhW3sbDhbH9Cz0tuDiY8C3ctxq1tqvaCgkFb8cCA/edit?usp=sharing"",""อุดรธานี!J166"")"),0)</f>
        <v>0</v>
      </c>
      <c r="K610" s="547"/>
      <c r="L610" s="548"/>
      <c r="M610" s="548"/>
      <c r="N610" s="548"/>
      <c r="O610" s="548"/>
      <c r="P610" s="548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IFERROR(__xludf.DUMMYFUNCTION("IMPORTRANGE(""https://docs.google.com/spreadsheets/d/1XL5vhW3sbDhbH9Cz0tuDiY8C3ctxq1tqvaCgkFb8cCA/edit?usp=sharing"",""อุดรธานี!I506"")"),50)</f>
        <v>50</v>
      </c>
      <c r="J611" s="162">
        <f ca="1">IFERROR(__xludf.DUMMYFUNCTION("IMPORTRANGE(""https://docs.google.com/spreadsheets/d/1XL5vhW3sbDhbH9Cz0tuDiY8C3ctxq1tqvaCgkFb8cCA/edit?usp=sharing"",""อุดรธานี!J506"")"),0)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IFERROR(__xludf.DUMMYFUNCTION("IMPORTRANGE(""https://docs.google.com/spreadsheets/d/1XL5vhW3sbDhbH9Cz0tuDiY8C3ctxq1tqvaCgkFb8cCA/edit?usp=sharing"",""อุดรธานี!I507"")"),0)</f>
        <v>0</v>
      </c>
      <c r="J612" s="198">
        <f ca="1">IFERROR(__xludf.DUMMYFUNCTION("IMPORTRANGE(""https://docs.google.com/spreadsheets/d/1XL5vhW3sbDhbH9Cz0tuDiY8C3ctxq1tqvaCgkFb8cCA/edit?usp=sharing"",""อุดรธานี!J507"")"),0)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IFERROR(__xludf.DUMMYFUNCTION("IMPORTRANGE(""https://docs.google.com/spreadsheets/d/1XL5vhW3sbDhbH9Cz0tuDiY8C3ctxq1tqvaCgkFb8cCA/edit?usp=sharing"",""อุดรธานี!I508"")"),0)</f>
        <v>0</v>
      </c>
      <c r="J613" s="198">
        <f ca="1">IFERROR(__xludf.DUMMYFUNCTION("IMPORTRANGE(""https://docs.google.com/spreadsheets/d/1XL5vhW3sbDhbH9Cz0tuDiY8C3ctxq1tqvaCgkFb8cCA/edit?usp=sharing"",""อุดรธานี!J508"")"),0)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IFERROR(__xludf.DUMMYFUNCTION("IMPORTRANGE(""https://docs.google.com/spreadsheets/d/1XL5vhW3sbDhbH9Cz0tuDiY8C3ctxq1tqvaCgkFb8cCA/edit?usp=sharing"",""อุดรธานี!I509"")"),0)</f>
        <v>0</v>
      </c>
      <c r="J614" s="198">
        <f ca="1">IFERROR(__xludf.DUMMYFUNCTION("IMPORTRANGE(""https://docs.google.com/spreadsheets/d/1XL5vhW3sbDhbH9Cz0tuDiY8C3ctxq1tqvaCgkFb8cCA/edit?usp=sharing"",""อุดรธานี!J509"")"),0)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IFERROR(__xludf.DUMMYFUNCTION("IMPORTRANGE(""https://docs.google.com/spreadsheets/d/1XL5vhW3sbDhbH9Cz0tuDiY8C3ctxq1tqvaCgkFb8cCA/edit?usp=sharing"",""อุดรธานี!I510"")"),0)</f>
        <v>0</v>
      </c>
      <c r="J615" s="198">
        <f ca="1">IFERROR(__xludf.DUMMYFUNCTION("IMPORTRANGE(""https://docs.google.com/spreadsheets/d/1XL5vhW3sbDhbH9Cz0tuDiY8C3ctxq1tqvaCgkFb8cCA/edit?usp=sharing"",""อุดรธานี!J510"")"),0)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IFERROR(__xludf.DUMMYFUNCTION("IMPORTRANGE(""https://docs.google.com/spreadsheets/d/1XL5vhW3sbDhbH9Cz0tuDiY8C3ctxq1tqvaCgkFb8cCA/edit?usp=sharing"",""อุดรธานี!I511"")"),0)</f>
        <v>0</v>
      </c>
      <c r="J616" s="198">
        <f ca="1">IFERROR(__xludf.DUMMYFUNCTION("IMPORTRANGE(""https://docs.google.com/spreadsheets/d/1XL5vhW3sbDhbH9Cz0tuDiY8C3ctxq1tqvaCgkFb8cCA/edit?usp=sharing"",""อุดรธานี!J511"")"),0)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IFERROR(__xludf.DUMMYFUNCTION("IMPORTRANGE(""https://docs.google.com/spreadsheets/d/1XL5vhW3sbDhbH9Cz0tuDiY8C3ctxq1tqvaCgkFb8cCA/edit?usp=sharing"",""อุดรธานี!I512"")"),0)</f>
        <v>0</v>
      </c>
      <c r="J617" s="188">
        <f ca="1">IFERROR(__xludf.DUMMYFUNCTION("IMPORTRANGE(""https://docs.google.com/spreadsheets/d/1XL5vhW3sbDhbH9Cz0tuDiY8C3ctxq1tqvaCgkFb8cCA/edit?usp=sharing"",""อุดรธานี!J512"")"),0)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IFERROR(__xludf.DUMMYFUNCTION("IMPORTRANGE(""https://docs.google.com/spreadsheets/d/1XL5vhW3sbDhbH9Cz0tuDiY8C3ctxq1tqvaCgkFb8cCA/edit?usp=sharing"",""อุดรธานี!I513"")"),0)</f>
        <v>0</v>
      </c>
      <c r="J618" s="189">
        <f ca="1">IFERROR(__xludf.DUMMYFUNCTION("IMPORTRANGE(""https://docs.google.com/spreadsheets/d/1XL5vhW3sbDhbH9Cz0tuDiY8C3ctxq1tqvaCgkFb8cCA/edit?usp=sharing"",""อุดรธานี!J513"")"),0)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IFERROR(__xludf.DUMMYFUNCTION("IMPORTRANGE(""https://docs.google.com/spreadsheets/d/1XL5vhW3sbDhbH9Cz0tuDiY8C3ctxq1tqvaCgkFb8cCA/edit?usp=sharing"",""อุดรธานี!I514"")"),0)</f>
        <v>0</v>
      </c>
      <c r="J619" s="189">
        <f ca="1">IFERROR(__xludf.DUMMYFUNCTION("IMPORTRANGE(""https://docs.google.com/spreadsheets/d/1XL5vhW3sbDhbH9Cz0tuDiY8C3ctxq1tqvaCgkFb8cCA/edit?usp=sharing"",""อุดรธานี!J514"")"),0)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IFERROR(__xludf.DUMMYFUNCTION("IMPORTRANGE(""https://docs.google.com/spreadsheets/d/1XL5vhW3sbDhbH9Cz0tuDiY8C3ctxq1tqvaCgkFb8cCA/edit?usp=sharing"",""อุดรธานี!I515"")"),0)</f>
        <v>0</v>
      </c>
      <c r="J620" s="203">
        <f ca="1">IFERROR(__xludf.DUMMYFUNCTION("IMPORTRANGE(""https://docs.google.com/spreadsheets/d/1XL5vhW3sbDhbH9Cz0tuDiY8C3ctxq1tqvaCgkFb8cCA/edit?usp=sharing"",""อุดรธานี!J515"")"),0)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IFERROR(__xludf.DUMMYFUNCTION("IMPORTRANGE(""https://docs.google.com/spreadsheets/d/1XL5vhW3sbDhbH9Cz0tuDiY8C3ctxq1tqvaCgkFb8cCA/edit?usp=sharing"",""อุดรธานี!I516"")"),0)</f>
        <v>0</v>
      </c>
      <c r="J621" s="203">
        <f ca="1">IFERROR(__xludf.DUMMYFUNCTION("IMPORTRANGE(""https://docs.google.com/spreadsheets/d/1XL5vhW3sbDhbH9Cz0tuDiY8C3ctxq1tqvaCgkFb8cCA/edit?usp=sharing"",""อุดรธานี!J516"")"),0)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IFERROR(__xludf.DUMMYFUNCTION("IMPORTRANGE(""https://docs.google.com/spreadsheets/d/1XL5vhW3sbDhbH9Cz0tuDiY8C3ctxq1tqvaCgkFb8cCA/edit?usp=sharing"",""อุดรธานี!I517"")"),0)</f>
        <v>0</v>
      </c>
      <c r="J622" s="189">
        <f ca="1">IFERROR(__xludf.DUMMYFUNCTION("IMPORTRANGE(""https://docs.google.com/spreadsheets/d/1XL5vhW3sbDhbH9Cz0tuDiY8C3ctxq1tqvaCgkFb8cCA/edit?usp=sharing"",""อุดรธานี!J517"")"),0)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IFERROR(__xludf.DUMMYFUNCTION("IMPORTRANGE(""https://docs.google.com/spreadsheets/d/1XL5vhW3sbDhbH9Cz0tuDiY8C3ctxq1tqvaCgkFb8cCA/edit?usp=sharing"",""อุดรธานี!I518"")"),0)</f>
        <v>0</v>
      </c>
      <c r="J623" s="189">
        <f ca="1">IFERROR(__xludf.DUMMYFUNCTION("IMPORTRANGE(""https://docs.google.com/spreadsheets/d/1XL5vhW3sbDhbH9Cz0tuDiY8C3ctxq1tqvaCgkFb8cCA/edit?usp=sharing"",""อุดรธานี!J518"")"),0)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IFERROR(__xludf.DUMMYFUNCTION("IMPORTRANGE(""https://docs.google.com/spreadsheets/d/1XL5vhW3sbDhbH9Cz0tuDiY8C3ctxq1tqvaCgkFb8cCA/edit?usp=sharing"",""อุดรธานี!I519"")"),0)</f>
        <v>0</v>
      </c>
      <c r="J624" s="188">
        <f ca="1">IFERROR(__xludf.DUMMYFUNCTION("IMPORTRANGE(""https://docs.google.com/spreadsheets/d/1XL5vhW3sbDhbH9Cz0tuDiY8C3ctxq1tqvaCgkFb8cCA/edit?usp=sharing"",""อุดรธานี!J519"")"),0)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IFERROR(__xludf.DUMMYFUNCTION("IMPORTRANGE(""https://docs.google.com/spreadsheets/d/1XL5vhW3sbDhbH9Cz0tuDiY8C3ctxq1tqvaCgkFb8cCA/edit?usp=sharing"",""อุดรธานี!I520"")"),0)</f>
        <v>0</v>
      </c>
      <c r="J625" s="189">
        <f ca="1">IFERROR(__xludf.DUMMYFUNCTION("IMPORTRANGE(""https://docs.google.com/spreadsheets/d/1XL5vhW3sbDhbH9Cz0tuDiY8C3ctxq1tqvaCgkFb8cCA/edit?usp=sharing"",""อุดรธานี!J520"")"),0)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IFERROR(__xludf.DUMMYFUNCTION("IMPORTRANGE(""https://docs.google.com/spreadsheets/d/1XL5vhW3sbDhbH9Cz0tuDiY8C3ctxq1tqvaCgkFb8cCA/edit?usp=sharing"",""อุดรธานี!I521"")"),0)</f>
        <v>0</v>
      </c>
      <c r="J626" s="189">
        <f ca="1">IFERROR(__xludf.DUMMYFUNCTION("IMPORTRANGE(""https://docs.google.com/spreadsheets/d/1XL5vhW3sbDhbH9Cz0tuDiY8C3ctxq1tqvaCgkFb8cCA/edit?usp=sharing"",""อุดรธานี!J521"")"),0)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IFERROR(__xludf.DUMMYFUNCTION("IMPORTRANGE(""https://docs.google.com/spreadsheets/d/1XL5vhW3sbDhbH9Cz0tuDiY8C3ctxq1tqvaCgkFb8cCA/edit?usp=sharing"",""อุดรธานี!I523"")"),4327839.11)</f>
        <v>4327839.1100000003</v>
      </c>
      <c r="J628" s="341">
        <f ca="1">IFERROR(__xludf.DUMMYFUNCTION("IMPORTRANGE(""https://docs.google.com/spreadsheets/d/1XL5vhW3sbDhbH9Cz0tuDiY8C3ctxq1tqvaCgkFb8cCA/edit?usp=sharing"",""อุดรธานี!J523"")"),2601068.78)</f>
        <v>2601068.7799999998</v>
      </c>
      <c r="K628" s="342">
        <f t="shared" ref="K628:K635" ca="1" si="129">IF(I628&gt;0,J628*100/I628,0)</f>
        <v>60.100865903030289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IFERROR(__xludf.DUMMYFUNCTION("IMPORTRANGE(""https://docs.google.com/spreadsheets/d/1XL5vhW3sbDhbH9Cz0tuDiY8C3ctxq1tqvaCgkFb8cCA/edit?usp=sharing"",""อุดรธานี!I524"")"),302)</f>
        <v>302</v>
      </c>
      <c r="J629" s="341">
        <f ca="1">IFERROR(__xludf.DUMMYFUNCTION("IMPORTRANGE(""https://docs.google.com/spreadsheets/d/1XL5vhW3sbDhbH9Cz0tuDiY8C3ctxq1tqvaCgkFb8cCA/edit?usp=sharing"",""อุดรธานี!J524"")"),149)</f>
        <v>149</v>
      </c>
      <c r="K629" s="342">
        <f t="shared" ca="1" si="129"/>
        <v>49.337748344370858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IFERROR(__xludf.DUMMYFUNCTION("IMPORTRANGE(""https://docs.google.com/spreadsheets/d/1XL5vhW3sbDhbH9Cz0tuDiY8C3ctxq1tqvaCgkFb8cCA/edit?usp=sharing"",""อุดรธานี!I525"")"),1890659.63)</f>
        <v>1890659.63</v>
      </c>
      <c r="J630" s="341">
        <f ca="1">IFERROR(__xludf.DUMMYFUNCTION("IMPORTRANGE(""https://docs.google.com/spreadsheets/d/1XL5vhW3sbDhbH9Cz0tuDiY8C3ctxq1tqvaCgkFb8cCA/edit?usp=sharing"",""อุดรธานี!J525"")"),478482.97)</f>
        <v>478482.97</v>
      </c>
      <c r="K630" s="342">
        <f t="shared" ca="1" si="129"/>
        <v>25.307726594871021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IFERROR(__xludf.DUMMYFUNCTION("IMPORTRANGE(""https://docs.google.com/spreadsheets/d/1XL5vhW3sbDhbH9Cz0tuDiY8C3ctxq1tqvaCgkFb8cCA/edit?usp=sharing"",""อุดรธานี!I526"")"),120)</f>
        <v>120</v>
      </c>
      <c r="J631" s="341">
        <f ca="1">IFERROR(__xludf.DUMMYFUNCTION("IMPORTRANGE(""https://docs.google.com/spreadsheets/d/1XL5vhW3sbDhbH9Cz0tuDiY8C3ctxq1tqvaCgkFb8cCA/edit?usp=sharing"",""อุดรธานี!J526"")"),50)</f>
        <v>50</v>
      </c>
      <c r="K631" s="342">
        <f t="shared" ca="1" si="129"/>
        <v>41.666666666666664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IFERROR(__xludf.DUMMYFUNCTION("IMPORTRANGE(""https://docs.google.com/spreadsheets/d/1XL5vhW3sbDhbH9Cz0tuDiY8C3ctxq1tqvaCgkFb8cCA/edit?usp=sharing"",""อุดรธานี!I527"")"),697893.65)</f>
        <v>697893.65</v>
      </c>
      <c r="J632" s="341">
        <f ca="1">IFERROR(__xludf.DUMMYFUNCTION("IMPORTRANGE(""https://docs.google.com/spreadsheets/d/1XL5vhW3sbDhbH9Cz0tuDiY8C3ctxq1tqvaCgkFb8cCA/edit?usp=sharing"",""อุดรธานี!J527"")"),85707.36)</f>
        <v>85707.36</v>
      </c>
      <c r="K632" s="342">
        <f t="shared" ca="1" si="129"/>
        <v>12.280862564088382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IFERROR(__xludf.DUMMYFUNCTION("IMPORTRANGE(""https://docs.google.com/spreadsheets/d/1XL5vhW3sbDhbH9Cz0tuDiY8C3ctxq1tqvaCgkFb8cCA/edit?usp=sharing"",""อุดรธานี!I528"")"),24)</f>
        <v>24</v>
      </c>
      <c r="J633" s="341">
        <f ca="1">IFERROR(__xludf.DUMMYFUNCTION("IMPORTRANGE(""https://docs.google.com/spreadsheets/d/1XL5vhW3sbDhbH9Cz0tuDiY8C3ctxq1tqvaCgkFb8cCA/edit?usp=sharing"",""อุดรธานี!J528"")"),17)</f>
        <v>17</v>
      </c>
      <c r="K633" s="342">
        <f t="shared" ca="1" si="129"/>
        <v>70.833333333333329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IFERROR(__xludf.DUMMYFUNCTION("IMPORTRANGE(""https://docs.google.com/spreadsheets/d/1XL5vhW3sbDhbH9Cz0tuDiY8C3ctxq1tqvaCgkFb8cCA/edit?usp=sharing"",""อุดรธานี!I529"")"),5000000)</f>
        <v>5000000</v>
      </c>
      <c r="J634" s="341">
        <f ca="1">IFERROR(__xludf.DUMMYFUNCTION("IMPORTRANGE(""https://docs.google.com/spreadsheets/d/1XL5vhW3sbDhbH9Cz0tuDiY8C3ctxq1tqvaCgkFb8cCA/edit?usp=sharing"",""อุดรธานี!J529"")"),2660000)</f>
        <v>2660000</v>
      </c>
      <c r="K634" s="342">
        <f t="shared" ca="1" si="129"/>
        <v>53.2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IFERROR(__xludf.DUMMYFUNCTION("IMPORTRANGE(""https://docs.google.com/spreadsheets/d/1XL5vhW3sbDhbH9Cz0tuDiY8C3ctxq1tqvaCgkFb8cCA/edit?usp=sharing"",""อุดรธานี!I530"")"),200)</f>
        <v>200</v>
      </c>
      <c r="J635" s="504">
        <f ca="1">IFERROR(__xludf.DUMMYFUNCTION("IMPORTRANGE(""https://docs.google.com/spreadsheets/d/1XL5vhW3sbDhbH9Cz0tuDiY8C3ctxq1tqvaCgkFb8cCA/edit?usp=sharing"",""อุดรธานี!J530"")"),93)</f>
        <v>93</v>
      </c>
      <c r="K635" s="486">
        <f t="shared" ca="1" si="129"/>
        <v>46.5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49" t="s">
        <v>237</v>
      </c>
      <c r="F636" s="549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12" sqref="J12"/>
      <selection pane="bottomLeft" sqref="A1:P1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56" t="s">
        <v>0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</row>
    <row r="2" spans="1:16" ht="18" customHeight="1" x14ac:dyDescent="0.35">
      <c r="A2" s="556" t="s">
        <v>276</v>
      </c>
      <c r="B2" s="556"/>
      <c r="C2" s="556"/>
      <c r="D2" s="556"/>
      <c r="E2" s="556"/>
      <c r="F2" s="556"/>
      <c r="G2" s="556"/>
      <c r="H2" s="556"/>
      <c r="I2" s="556"/>
      <c r="J2" s="556"/>
      <c r="K2" s="556"/>
      <c r="L2" s="556"/>
      <c r="M2" s="556"/>
      <c r="N2" s="556"/>
      <c r="O2" s="556"/>
      <c r="P2" s="556"/>
    </row>
    <row r="3" spans="1:16" ht="18" customHeight="1" x14ac:dyDescent="0.35">
      <c r="A3" s="556" t="s">
        <v>278</v>
      </c>
      <c r="B3" s="556"/>
      <c r="C3" s="556"/>
      <c r="D3" s="556"/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6"/>
      <c r="P3" s="55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64" t="s">
        <v>2</v>
      </c>
      <c r="B5" s="565"/>
      <c r="C5" s="565"/>
      <c r="D5" s="565"/>
      <c r="E5" s="565"/>
      <c r="F5" s="565"/>
      <c r="G5" s="566"/>
      <c r="H5" s="557" t="s">
        <v>3</v>
      </c>
      <c r="I5" s="559" t="s">
        <v>4</v>
      </c>
      <c r="J5" s="560"/>
      <c r="K5" s="561"/>
      <c r="L5" s="562" t="s">
        <v>5</v>
      </c>
      <c r="M5" s="561"/>
      <c r="N5" s="563" t="s">
        <v>6</v>
      </c>
      <c r="O5" s="560"/>
      <c r="P5" s="561"/>
    </row>
    <row r="6" spans="1:16" ht="21.75" customHeight="1" x14ac:dyDescent="0.35">
      <c r="A6" s="567"/>
      <c r="B6" s="568"/>
      <c r="C6" s="568"/>
      <c r="D6" s="568"/>
      <c r="E6" s="568"/>
      <c r="F6" s="568"/>
      <c r="G6" s="569"/>
      <c r="H6" s="55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0" t="s">
        <v>15</v>
      </c>
      <c r="B7" s="560"/>
      <c r="C7" s="560"/>
      <c r="D7" s="560"/>
      <c r="E7" s="560"/>
      <c r="F7" s="560"/>
      <c r="G7" s="56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1" t="s">
        <v>17</v>
      </c>
      <c r="E8" s="555"/>
      <c r="F8" s="555"/>
      <c r="G8" s="555"/>
      <c r="H8" s="20" t="s">
        <v>12</v>
      </c>
      <c r="I8" s="21"/>
      <c r="J8" s="21"/>
      <c r="K8" s="22"/>
      <c r="L8" s="23">
        <f t="shared" ref="L8:N8" ca="1" si="0">L9+L10</f>
        <v>8569425</v>
      </c>
      <c r="M8" s="23">
        <f t="shared" ca="1" si="0"/>
        <v>4187054.24</v>
      </c>
      <c r="N8" s="23">
        <f t="shared" ca="1" si="0"/>
        <v>5448589.4000000004</v>
      </c>
      <c r="O8" s="22">
        <f t="shared" ref="O8:O16" ca="1" si="1">IF(L8&gt;0,N8*100/L8,0)</f>
        <v>63.581738564722841</v>
      </c>
      <c r="P8" s="22">
        <f t="shared" ref="P8:P16" ca="1" si="2">IF(M8&gt;0,N8*100/M8,0)</f>
        <v>130.12942005738142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8569425</v>
      </c>
      <c r="M10" s="30">
        <f t="shared" ca="1" si="4"/>
        <v>4187054.24</v>
      </c>
      <c r="N10" s="30">
        <f t="shared" ca="1" si="4"/>
        <v>5448589.4000000004</v>
      </c>
      <c r="O10" s="29">
        <f t="shared" ca="1" si="1"/>
        <v>63.581738564722841</v>
      </c>
      <c r="P10" s="29">
        <f t="shared" ca="1" si="2"/>
        <v>130.12942005738142</v>
      </c>
    </row>
    <row r="11" spans="1:16" ht="21.75" customHeight="1" x14ac:dyDescent="0.45">
      <c r="A11" s="31"/>
      <c r="B11" s="32"/>
      <c r="C11" s="33" t="s">
        <v>16</v>
      </c>
      <c r="D11" s="572" t="s">
        <v>20</v>
      </c>
      <c r="E11" s="553"/>
      <c r="F11" s="55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7714470</v>
      </c>
      <c r="M12" s="38">
        <f t="shared" ca="1" si="6"/>
        <v>3332099.24</v>
      </c>
      <c r="N12" s="38">
        <f t="shared" ca="1" si="6"/>
        <v>4593634.4000000004</v>
      </c>
      <c r="O12" s="38">
        <f t="shared" ca="1" si="1"/>
        <v>59.545690112217699</v>
      </c>
      <c r="P12" s="38">
        <f t="shared" ca="1" si="2"/>
        <v>137.86007165861002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2384300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5330170</v>
      </c>
      <c r="M14" s="38">
        <f t="shared" si="8"/>
        <v>0</v>
      </c>
      <c r="N14" s="38">
        <f t="shared" ca="1" si="8"/>
        <v>2298121.75</v>
      </c>
      <c r="O14" s="38">
        <f t="shared" ca="1" si="1"/>
        <v>43.115355607794875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2" t="s">
        <v>23</v>
      </c>
      <c r="E15" s="55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854955</v>
      </c>
      <c r="M16" s="38">
        <f t="shared" ca="1" si="10"/>
        <v>854955</v>
      </c>
      <c r="N16" s="38">
        <f t="shared" ca="1" si="10"/>
        <v>854955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70" t="s">
        <v>24</v>
      </c>
      <c r="B17" s="560"/>
      <c r="C17" s="560"/>
      <c r="D17" s="560"/>
      <c r="E17" s="560"/>
      <c r="F17" s="560"/>
      <c r="G17" s="56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1" t="s">
        <v>17</v>
      </c>
      <c r="E18" s="555"/>
      <c r="F18" s="555"/>
      <c r="G18" s="555"/>
      <c r="H18" s="20" t="s">
        <v>12</v>
      </c>
      <c r="I18" s="21"/>
      <c r="J18" s="21"/>
      <c r="K18" s="22"/>
      <c r="L18" s="23">
        <f t="shared" ref="L18:N18" ca="1" si="11">L19+L20</f>
        <v>5188180</v>
      </c>
      <c r="M18" s="23">
        <f t="shared" ca="1" si="11"/>
        <v>4187054.24</v>
      </c>
      <c r="N18" s="23">
        <f t="shared" ca="1" si="11"/>
        <v>3150467.65</v>
      </c>
      <c r="O18" s="22">
        <f t="shared" ref="O18:O20" ca="1" si="12">IF(L18&gt;0,N18*100/L18,0)</f>
        <v>60.723946547729646</v>
      </c>
      <c r="P18" s="22">
        <f t="shared" ref="P18:P26" ca="1" si="13">IF(M18&gt;0,N18*100/M18,0)</f>
        <v>75.243057992962605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5188180</v>
      </c>
      <c r="M20" s="30">
        <f t="shared" ca="1" si="15"/>
        <v>4187054.24</v>
      </c>
      <c r="N20" s="30">
        <f t="shared" ca="1" si="15"/>
        <v>3150467.65</v>
      </c>
      <c r="O20" s="29">
        <f t="shared" ca="1" si="12"/>
        <v>60.723946547729646</v>
      </c>
      <c r="P20" s="29">
        <f t="shared" ca="1" si="13"/>
        <v>75.243057992962605</v>
      </c>
    </row>
    <row r="21" spans="1:16" ht="21.75" customHeight="1" x14ac:dyDescent="0.45">
      <c r="A21" s="31"/>
      <c r="B21" s="32"/>
      <c r="C21" s="33" t="s">
        <v>16</v>
      </c>
      <c r="D21" s="572" t="s">
        <v>20</v>
      </c>
      <c r="E21" s="553"/>
      <c r="F21" s="55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4333225</v>
      </c>
      <c r="M22" s="41">
        <f t="shared" ca="1" si="18"/>
        <v>3332099.24</v>
      </c>
      <c r="N22" s="38">
        <f t="shared" ca="1" si="18"/>
        <v>2295512.65</v>
      </c>
      <c r="O22" s="38">
        <f t="shared" ca="1" si="17"/>
        <v>52.97469321348418</v>
      </c>
      <c r="P22" s="38">
        <f t="shared" ca="1" si="13"/>
        <v>68.890884834510501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2384300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1948925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2" t="s">
        <v>23</v>
      </c>
      <c r="E25" s="55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854955</v>
      </c>
      <c r="M26" s="49">
        <f t="shared" ca="1" si="22"/>
        <v>854955</v>
      </c>
      <c r="N26" s="49">
        <f t="shared" ca="1" si="22"/>
        <v>854955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70" t="s">
        <v>25</v>
      </c>
      <c r="B27" s="560"/>
      <c r="C27" s="560"/>
      <c r="D27" s="560"/>
      <c r="E27" s="560"/>
      <c r="F27" s="560"/>
      <c r="G27" s="56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1" t="s">
        <v>17</v>
      </c>
      <c r="E28" s="555"/>
      <c r="F28" s="555"/>
      <c r="G28" s="555"/>
      <c r="H28" s="20" t="s">
        <v>12</v>
      </c>
      <c r="I28" s="21"/>
      <c r="J28" s="21"/>
      <c r="K28" s="22"/>
      <c r="L28" s="23">
        <f t="shared" ref="L28:N28" ca="1" si="23">L29+L30</f>
        <v>3381245</v>
      </c>
      <c r="M28" s="23">
        <f t="shared" si="23"/>
        <v>0</v>
      </c>
      <c r="N28" s="23">
        <f t="shared" ca="1" si="23"/>
        <v>2298121.75</v>
      </c>
      <c r="O28" s="22">
        <f t="shared" ref="O28:O30" ca="1" si="24">IF(L28&gt;0,N28*100/L28,0)</f>
        <v>67.966732667996553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3381245</v>
      </c>
      <c r="M30" s="30">
        <f t="shared" si="27"/>
        <v>0</v>
      </c>
      <c r="N30" s="30">
        <f t="shared" ca="1" si="27"/>
        <v>2298121.75</v>
      </c>
      <c r="O30" s="29">
        <f t="shared" ca="1" si="24"/>
        <v>67.966732667996553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2" t="s">
        <v>20</v>
      </c>
      <c r="E31" s="553"/>
      <c r="F31" s="55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3381245</v>
      </c>
      <c r="M32" s="38">
        <f t="shared" si="30"/>
        <v>0</v>
      </c>
      <c r="N32" s="38">
        <f t="shared" ca="1" si="30"/>
        <v>2298121.75</v>
      </c>
      <c r="O32" s="38">
        <f t="shared" ca="1" si="29"/>
        <v>67.966732667996553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3381245</v>
      </c>
      <c r="M34" s="38">
        <f t="shared" si="32"/>
        <v>0</v>
      </c>
      <c r="N34" s="38">
        <f t="shared" ca="1" si="32"/>
        <v>2298121.75</v>
      </c>
      <c r="O34" s="38">
        <f t="shared" ca="1" si="29"/>
        <v>67.966732667996553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2" t="s">
        <v>23</v>
      </c>
      <c r="E35" s="55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5188180</v>
      </c>
      <c r="M37" s="54">
        <f t="shared" ca="1" si="33"/>
        <v>4187054.24</v>
      </c>
      <c r="N37" s="54">
        <f t="shared" ca="1" si="33"/>
        <v>3150467.6500000004</v>
      </c>
      <c r="O37" s="55">
        <f t="shared" ca="1" si="29"/>
        <v>60.72394654772966</v>
      </c>
      <c r="P37" s="55">
        <f t="shared" ca="1" si="25"/>
        <v>75.243057992962619</v>
      </c>
    </row>
    <row r="38" spans="1:16" ht="21.75" customHeight="1" x14ac:dyDescent="0.45">
      <c r="A38" s="573" t="s">
        <v>27</v>
      </c>
      <c r="B38" s="560"/>
      <c r="C38" s="560"/>
      <c r="D38" s="560"/>
      <c r="E38" s="560"/>
      <c r="F38" s="560"/>
      <c r="G38" s="56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74" t="s">
        <v>28</v>
      </c>
      <c r="C39" s="555"/>
      <c r="D39" s="555"/>
      <c r="E39" s="555"/>
      <c r="F39" s="555"/>
      <c r="G39" s="55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75" t="s">
        <v>17</v>
      </c>
      <c r="E41" s="553"/>
      <c r="F41" s="553"/>
      <c r="G41" s="553"/>
      <c r="H41" s="75" t="s">
        <v>12</v>
      </c>
      <c r="I41" s="76"/>
      <c r="J41" s="76"/>
      <c r="K41" s="77"/>
      <c r="L41" s="78">
        <f t="shared" ref="L41:N41" ca="1" si="34">L42+L43</f>
        <v>1717055</v>
      </c>
      <c r="M41" s="78">
        <f t="shared" ca="1" si="34"/>
        <v>1478555</v>
      </c>
      <c r="N41" s="78">
        <f t="shared" ca="1" si="34"/>
        <v>1220806.95</v>
      </c>
      <c r="O41" s="77">
        <f t="shared" ref="O41:O43" ca="1" si="35">IF(L41&gt;0,N41*100/L41,0)</f>
        <v>71.098884427115024</v>
      </c>
      <c r="P41" s="77">
        <f t="shared" ref="P41:P43" ca="1" si="36">IF(M41&gt;0,N41*100/M41,0)</f>
        <v>82.56757104064441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1717055</v>
      </c>
      <c r="M43" s="78">
        <f t="shared" ca="1" si="38"/>
        <v>1478555</v>
      </c>
      <c r="N43" s="78">
        <f t="shared" ca="1" si="38"/>
        <v>1220806.95</v>
      </c>
      <c r="O43" s="77">
        <f t="shared" ca="1" si="35"/>
        <v>71.098884427115024</v>
      </c>
      <c r="P43" s="77">
        <f t="shared" ca="1" si="36"/>
        <v>82.56757104064441</v>
      </c>
    </row>
    <row r="44" spans="1:16" ht="21.75" customHeight="1" x14ac:dyDescent="0.45">
      <c r="A44" s="79"/>
      <c r="B44" s="80"/>
      <c r="C44" s="81" t="s">
        <v>16</v>
      </c>
      <c r="D44" s="552" t="s">
        <v>20</v>
      </c>
      <c r="E44" s="553"/>
      <c r="F44" s="553"/>
      <c r="G44" s="82" t="s">
        <v>18</v>
      </c>
      <c r="H44" s="83" t="s">
        <v>12</v>
      </c>
      <c r="I44" s="84"/>
      <c r="J44" s="84"/>
      <c r="K44" s="85"/>
      <c r="L44" s="86">
        <v>0</v>
      </c>
      <c r="M44" s="157"/>
      <c r="N44" s="86"/>
      <c r="O44" s="86"/>
      <c r="P44" s="86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954100</v>
      </c>
      <c r="M45" s="49">
        <f ca="1">IFERROR(__xludf.DUMMYFUNCTION("IMPORTRANGE(""https://docs.google.com/spreadsheets/d/1Yj_ptqi66GCucihVvJfMjLAmec39IyEx_6qawtMGysU/edit?usp=sharing"",""สบก!Q57"")"),715600)</f>
        <v>715600</v>
      </c>
      <c r="N45" s="49">
        <f ca="1">IFERROR(__xludf.DUMMYFUNCTION("IMPORTRANGE(""https://docs.google.com/spreadsheets/d/1Yj_ptqi66GCucihVvJfMjLAmec39IyEx_6qawtMGysU/edit?usp=sharing"",""สบก!R57"")"),457851.95)</f>
        <v>457851.95</v>
      </c>
      <c r="O45" s="38">
        <f ca="1">IF(L45&gt;0,N45*100/L45,0)</f>
        <v>47.987836704747927</v>
      </c>
      <c r="P45" s="38">
        <f ca="1">IF(M45&gt;0,N45*100/M45,0)</f>
        <v>63.981546953605367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IFERROR(__xludf.DUMMYFUNCTION("IMPORTRANGE(""https://docs.google.com/spreadsheets/d/1Yj_ptqi66GCucihVvJfMjLAmec39IyEx_6qawtMGysU/edit?usp=sharing"",""สบก!M57"")"),954100)</f>
        <v>954100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IFERROR(__xludf.DUMMYFUNCTION("IMPORTRANGE(""https://docs.google.com/spreadsheets/d/1Yj_ptqi66GCucihVvJfMjLAmec39IyEx_6qawtMGysU/edit?usp=sharing"",""สบก!N57"")"),0)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52" t="s">
        <v>23</v>
      </c>
      <c r="E48" s="55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IFERROR(__xludf.DUMMYFUNCTION("IMPORTRANGE(""https://docs.google.com/spreadsheets/d/1Yj_ptqi66GCucihVvJfMjLAmec39IyEx_6qawtMGysU/edit?usp=sharing"",""สบก!O57"")"),762955)</f>
        <v>762955</v>
      </c>
      <c r="M49" s="49">
        <f ca="1">L49</f>
        <v>762955</v>
      </c>
      <c r="N49" s="49">
        <f ca="1">IFERROR(__xludf.DUMMYFUNCTION("IMPORTRANGE(""https://docs.google.com/spreadsheets/d/1Yj_ptqi66GCucihVvJfMjLAmec39IyEx_6qawtMGysU/edit?usp=sharing"",""สบก!S57"")"),762955)</f>
        <v>762955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76" t="s">
        <v>32</v>
      </c>
      <c r="C52" s="553"/>
      <c r="D52" s="553"/>
      <c r="E52" s="553"/>
      <c r="F52" s="553"/>
      <c r="G52" s="55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77" t="s">
        <v>17</v>
      </c>
      <c r="E53" s="553"/>
      <c r="F53" s="553"/>
      <c r="G53" s="553"/>
      <c r="H53" s="118" t="s">
        <v>12</v>
      </c>
      <c r="I53" s="119"/>
      <c r="J53" s="119"/>
      <c r="K53" s="120"/>
      <c r="L53" s="121">
        <f t="shared" ref="L53:N53" ca="1" si="39">L54+L55</f>
        <v>460800</v>
      </c>
      <c r="M53" s="121">
        <f t="shared" ca="1" si="39"/>
        <v>373609.24</v>
      </c>
      <c r="N53" s="121">
        <f t="shared" ca="1" si="39"/>
        <v>256642</v>
      </c>
      <c r="O53" s="120">
        <f t="shared" ref="O53:O55" ca="1" si="40">IF(L53&gt;0,N53*100/L53,0)</f>
        <v>55.694878472222221</v>
      </c>
      <c r="P53" s="120">
        <f t="shared" ref="P53:P55" ca="1" si="41">IF(M53&gt;0,N53*100/M53,0)</f>
        <v>68.692626552812243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460800</v>
      </c>
      <c r="M55" s="121">
        <f t="shared" ca="1" si="43"/>
        <v>373609.24</v>
      </c>
      <c r="N55" s="121">
        <f t="shared" ca="1" si="43"/>
        <v>256642</v>
      </c>
      <c r="O55" s="120">
        <f t="shared" ca="1" si="40"/>
        <v>55.694878472222221</v>
      </c>
      <c r="P55" s="120">
        <f t="shared" ca="1" si="41"/>
        <v>68.692626552812243</v>
      </c>
    </row>
    <row r="56" spans="1:16" ht="21.75" customHeight="1" x14ac:dyDescent="0.45">
      <c r="A56" s="79"/>
      <c r="B56" s="80"/>
      <c r="C56" s="81" t="s">
        <v>16</v>
      </c>
      <c r="D56" s="552" t="s">
        <v>20</v>
      </c>
      <c r="E56" s="553"/>
      <c r="F56" s="55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460800</v>
      </c>
      <c r="M57" s="49">
        <f ca="1">IFERROR(__xludf.DUMMYFUNCTION("IMPORTRANGE(""https://docs.google.com/spreadsheets/d/1Yj_ptqi66GCucihVvJfMjLAmec39IyEx_6qawtMGysU/edit?usp=sharing"",""สบก!Z57"")"),373609.24)</f>
        <v>373609.24</v>
      </c>
      <c r="N57" s="49">
        <f ca="1">IFERROR(__xludf.DUMMYFUNCTION("IMPORTRANGE(""https://docs.google.com/spreadsheets/d/1Yj_ptqi66GCucihVvJfMjLAmec39IyEx_6qawtMGysU/edit?usp=sharing"",""สบก!AA57"")"),256642)</f>
        <v>256642</v>
      </c>
      <c r="O57" s="38">
        <f ca="1">IF(L57&gt;0,N57*100/L57,0)</f>
        <v>55.694878472222221</v>
      </c>
      <c r="P57" s="38">
        <f ca="1">IF(M57&gt;0,N57*100/M57,0)</f>
        <v>68.692626552812243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IFERROR(__xludf.DUMMYFUNCTION("IMPORTRANGE(""https://docs.google.com/spreadsheets/d/1Yj_ptqi66GCucihVvJfMjLAmec39IyEx_6qawtMGysU/edit?usp=sharing"",""สบก!V57"")"),460800)</f>
        <v>460800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IFERROR(__xludf.DUMMYFUNCTION("IMPORTRANGE(""https://docs.google.com/spreadsheets/d/1Yj_ptqi66GCucihVvJfMjLAmec39IyEx_6qawtMGysU/edit?usp=sharing"",""สบก!W57"")"),0)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52" t="s">
        <v>23</v>
      </c>
      <c r="E60" s="55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IFERROR(__xludf.DUMMYFUNCTION("IMPORTRANGE(""https://docs.google.com/spreadsheets/d/1Yj_ptqi66GCucihVvJfMjLAmec39IyEx_6qawtMGysU/edit?usp=sharing"",""สบก!X57"")"),0)</f>
        <v>0</v>
      </c>
      <c r="M61" s="49"/>
      <c r="N61" s="49">
        <f ca="1">IFERROR(__xludf.DUMMYFUNCTION("IMPORTRANGE(""https://docs.google.com/spreadsheets/d/1Yj_ptqi66GCucihVvJfMjLAmec39IyEx_6qawtMGysU/edit?usp=sharing"",""สบก!AB57"")"),0)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IFERROR(__xludf.DUMMYFUNCTION("IMPORTRANGE(""https://docs.google.com/spreadsheets/d/1XL5vhW3sbDhbH9Cz0tuDiY8C3ctxq1tqvaCgkFb8cCA/edit?usp=sharing"",""อุบลราชธานี!I9"")"),0)</f>
        <v>0</v>
      </c>
      <c r="J64" s="142">
        <f ca="1">IFERROR(__xludf.DUMMYFUNCTION("IMPORTRANGE(""https://docs.google.com/spreadsheets/d/1XL5vhW3sbDhbH9Cz0tuDiY8C3ctxq1tqvaCgkFb8cCA/edit?usp=sharing"",""อุบลราชธานี!J9"")"),0)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IFERROR(__xludf.DUMMYFUNCTION("IMPORTRANGE(""https://docs.google.com/spreadsheets/d/1XL5vhW3sbDhbH9Cz0tuDiY8C3ctxq1tqvaCgkFb8cCA/edit?usp=sharing"",""อุบลราชธานี!I10"")"),0)</f>
        <v>0</v>
      </c>
      <c r="J65" s="142">
        <f ca="1">IFERROR(__xludf.DUMMYFUNCTION("IMPORTRANGE(""https://docs.google.com/spreadsheets/d/1XL5vhW3sbDhbH9Cz0tuDiY8C3ctxq1tqvaCgkFb8cCA/edit?usp=sharing"",""อุบลราชธานี!J10"")"),0)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54" t="s">
        <v>17</v>
      </c>
      <c r="E66" s="555"/>
      <c r="F66" s="555"/>
      <c r="G66" s="55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52" t="s">
        <v>20</v>
      </c>
      <c r="E69" s="553"/>
      <c r="F69" s="55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IFERROR(__xludf.DUMMYFUNCTION("IMPORTRANGE(""https://docs.google.com/spreadsheets/d/1Yj_ptqi66GCucihVvJfMjLAmec39IyEx_6qawtMGysU/edit?usp=sharing"",""สบก!AI57"")"),0)</f>
        <v>0</v>
      </c>
      <c r="N70" s="169">
        <f ca="1">IFERROR(__xludf.DUMMYFUNCTION("IMPORTRANGE(""https://docs.google.com/spreadsheets/d/1Yj_ptqi66GCucihVvJfMjLAmec39IyEx_6qawtMGysU/edit?usp=sharing"",""สบก!AJ57"")"),0)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IFERROR(__xludf.DUMMYFUNCTION("IMPORTRANGE(""https://docs.google.com/spreadsheets/d/1Yj_ptqi66GCucihVvJfMjLAmec39IyEx_6qawtMGysU/edit?usp=sharing"",""สบก!AE57"")"),0)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IFERROR(__xludf.DUMMYFUNCTION("IMPORTRANGE(""https://docs.google.com/spreadsheets/d/1Yj_ptqi66GCucihVvJfMjLAmec39IyEx_6qawtMGysU/edit?usp=sharing"",""สบก!AF57"")"),0)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52" t="s">
        <v>23</v>
      </c>
      <c r="E73" s="55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IFERROR(__xludf.DUMMYFUNCTION("IMPORTRANGE(""https://docs.google.com/spreadsheets/d/1Yj_ptqi66GCucihVvJfMjLAmec39IyEx_6qawtMGysU/edit?usp=sharing"",""สบก!AG57"")"),0)</f>
        <v>0</v>
      </c>
      <c r="M74" s="49"/>
      <c r="N74" s="49">
        <f ca="1">IFERROR(__xludf.DUMMYFUNCTION("IMPORTRANGE(""https://docs.google.com/spreadsheets/d/1Yj_ptqi66GCucihVvJfMjLAmec39IyEx_6qawtMGysU/edit?usp=sharing"",""สบก!AK57"")"),0)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IFERROR(__xludf.DUMMYFUNCTION("IMPORTRANGE(""https://docs.google.com/spreadsheets/d/1XL5vhW3sbDhbH9Cz0tuDiY8C3ctxq1tqvaCgkFb8cCA/edit?usp=sharing"",""อุบลราชธานี!J16"")"),0)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IFERROR(__xludf.DUMMYFUNCTION("IMPORTRANGE(""https://docs.google.com/spreadsheets/d/1XL5vhW3sbDhbH9Cz0tuDiY8C3ctxq1tqvaCgkFb8cCA/edit?usp=sharing"",""อุบลราชธานี!J17"")"),0)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IFERROR(__xludf.DUMMYFUNCTION("IMPORTRANGE(""https://docs.google.com/spreadsheets/d/1XL5vhW3sbDhbH9Cz0tuDiY8C3ctxq1tqvaCgkFb8cCA/edit?usp=sharing"",""อุบลราชธานี!J18"")"),0)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IFERROR(__xludf.DUMMYFUNCTION("IMPORTRANGE(""https://docs.google.com/spreadsheets/d/1XL5vhW3sbDhbH9Cz0tuDiY8C3ctxq1tqvaCgkFb8cCA/edit?usp=sharing"",""อุบลราชธานี!J19"")"),0)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IFERROR(__xludf.DUMMYFUNCTION("IMPORTRANGE(""https://docs.google.com/spreadsheets/d/1XL5vhW3sbDhbH9Cz0tuDiY8C3ctxq1tqvaCgkFb8cCA/edit?usp=sharing"",""อุบลราชธานี!I20"")"),0)</f>
        <v>0</v>
      </c>
      <c r="J80" s="201">
        <f ca="1">IFERROR(__xludf.DUMMYFUNCTION("IMPORTRANGE(""https://docs.google.com/spreadsheets/d/1XL5vhW3sbDhbH9Cz0tuDiY8C3ctxq1tqvaCgkFb8cCA/edit?usp=sharing"",""อุบลราชธานี!J20"")"),0)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IFERROR(__xludf.DUMMYFUNCTION("IMPORTRANGE(""https://docs.google.com/spreadsheets/d/1XL5vhW3sbDhbH9Cz0tuDiY8C3ctxq1tqvaCgkFb8cCA/edit?usp=sharing"",""อุบลราชธานี!I21"")"),0)</f>
        <v>0</v>
      </c>
      <c r="J81" s="201">
        <f ca="1">IFERROR(__xludf.DUMMYFUNCTION("IMPORTRANGE(""https://docs.google.com/spreadsheets/d/1XL5vhW3sbDhbH9Cz0tuDiY8C3ctxq1tqvaCgkFb8cCA/edit?usp=sharing"",""อุบลราชธานี!J21"")"),0)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IFERROR(__xludf.DUMMYFUNCTION("IMPORTRANGE(""https://docs.google.com/spreadsheets/d/1XL5vhW3sbDhbH9Cz0tuDiY8C3ctxq1tqvaCgkFb8cCA/edit?usp=sharing"",""อุบลราชธานี!I22"")"),0)</f>
        <v>0</v>
      </c>
      <c r="J82" s="204">
        <f ca="1">IFERROR(__xludf.DUMMYFUNCTION("IMPORTRANGE(""https://docs.google.com/spreadsheets/d/1XL5vhW3sbDhbH9Cz0tuDiY8C3ctxq1tqvaCgkFb8cCA/edit?usp=sharing"",""อุบลราชธานี!J22"")"),0)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IFERROR(__xludf.DUMMYFUNCTION("IMPORTRANGE(""https://docs.google.com/spreadsheets/d/1XL5vhW3sbDhbH9Cz0tuDiY8C3ctxq1tqvaCgkFb8cCA/edit?usp=sharing"",""อุบลราชธานี!I23"")"),0)</f>
        <v>0</v>
      </c>
      <c r="J83" s="204">
        <f ca="1">IFERROR(__xludf.DUMMYFUNCTION("IMPORTRANGE(""https://docs.google.com/spreadsheets/d/1XL5vhW3sbDhbH9Cz0tuDiY8C3ctxq1tqvaCgkFb8cCA/edit?usp=sharing"",""อุบลราชธานี!J23"")"),0)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IFERROR(__xludf.DUMMYFUNCTION("IMPORTRANGE(""https://docs.google.com/spreadsheets/d/1XL5vhW3sbDhbH9Cz0tuDiY8C3ctxq1tqvaCgkFb8cCA/edit?usp=sharing"",""อุบลราชธานี!I24"")"),0)</f>
        <v>0</v>
      </c>
      <c r="J84" s="189">
        <f ca="1">IFERROR(__xludf.DUMMYFUNCTION("IMPORTRANGE(""https://docs.google.com/spreadsheets/d/1XL5vhW3sbDhbH9Cz0tuDiY8C3ctxq1tqvaCgkFb8cCA/edit?usp=sharing"",""อุบลราชธานี!J24"")"),0)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IFERROR(__xludf.DUMMYFUNCTION("IMPORTRANGE(""https://docs.google.com/spreadsheets/d/1XL5vhW3sbDhbH9Cz0tuDiY8C3ctxq1tqvaCgkFb8cCA/edit?usp=sharing"",""อุบลราชธานี!I25"")"),0)</f>
        <v>0</v>
      </c>
      <c r="J85" s="189">
        <f ca="1">IFERROR(__xludf.DUMMYFUNCTION("IMPORTRANGE(""https://docs.google.com/spreadsheets/d/1XL5vhW3sbDhbH9Cz0tuDiY8C3ctxq1tqvaCgkFb8cCA/edit?usp=sharing"",""อุบลราชธานี!J25"")"),0)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IFERROR(__xludf.DUMMYFUNCTION("IMPORTRANGE(""https://docs.google.com/spreadsheets/d/1XL5vhW3sbDhbH9Cz0tuDiY8C3ctxq1tqvaCgkFb8cCA/edit?usp=sharing"",""อุบลราชธานี!I26"")"),0)</f>
        <v>0</v>
      </c>
      <c r="J86" s="204">
        <f ca="1">IFERROR(__xludf.DUMMYFUNCTION("IMPORTRANGE(""https://docs.google.com/spreadsheets/d/1XL5vhW3sbDhbH9Cz0tuDiY8C3ctxq1tqvaCgkFb8cCA/edit?usp=sharing"",""อุบลราชธานี!J26"")"),0)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IFERROR(__xludf.DUMMYFUNCTION("IMPORTRANGE(""https://docs.google.com/spreadsheets/d/1XL5vhW3sbDhbH9Cz0tuDiY8C3ctxq1tqvaCgkFb8cCA/edit?usp=sharing"",""อุบลราชธานี!I27"")"),0)</f>
        <v>0</v>
      </c>
      <c r="J87" s="204">
        <f ca="1">IFERROR(__xludf.DUMMYFUNCTION("IMPORTRANGE(""https://docs.google.com/spreadsheets/d/1XL5vhW3sbDhbH9Cz0tuDiY8C3ctxq1tqvaCgkFb8cCA/edit?usp=sharing"",""อุบลราชธานี!J27"")"),0)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IFERROR(__xludf.DUMMYFUNCTION("IMPORTRANGE(""https://docs.google.com/spreadsheets/d/1XL5vhW3sbDhbH9Cz0tuDiY8C3ctxq1tqvaCgkFb8cCA/edit?usp=sharing"",""อุบลราชธานี!I28"")"),0)</f>
        <v>0</v>
      </c>
      <c r="J88" s="204">
        <f ca="1">IFERROR(__xludf.DUMMYFUNCTION("IMPORTRANGE(""https://docs.google.com/spreadsheets/d/1XL5vhW3sbDhbH9Cz0tuDiY8C3ctxq1tqvaCgkFb8cCA/edit?usp=sharing"",""อุบลราชธานี!J28"")"),0)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IFERROR(__xludf.DUMMYFUNCTION("IMPORTRANGE(""https://docs.google.com/spreadsheets/d/1XL5vhW3sbDhbH9Cz0tuDiY8C3ctxq1tqvaCgkFb8cCA/edit?usp=sharing"",""อุบลราชธานี!J29"")"),0)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IFERROR(__xludf.DUMMYFUNCTION("IMPORTRANGE(""https://docs.google.com/spreadsheets/d/1XL5vhW3sbDhbH9Cz0tuDiY8C3ctxq1tqvaCgkFb8cCA/edit?usp=sharing"",""อุบลราชธานี!J30"")"),0)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IFERROR(__xludf.DUMMYFUNCTION("IMPORTRANGE(""https://docs.google.com/spreadsheets/d/1XL5vhW3sbDhbH9Cz0tuDiY8C3ctxq1tqvaCgkFb8cCA/edit?usp=sharing"",""อุบลราชธานี!I32"")"),4)</f>
        <v>4</v>
      </c>
      <c r="J92" s="142">
        <f ca="1">IFERROR(__xludf.DUMMYFUNCTION("IMPORTRANGE(""https://docs.google.com/spreadsheets/d/1XL5vhW3sbDhbH9Cz0tuDiY8C3ctxq1tqvaCgkFb8cCA/edit?usp=sharing"",""อุบลราชธานี!J32"")"),4)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IFERROR(__xludf.DUMMYFUNCTION("IMPORTRANGE(""https://docs.google.com/spreadsheets/d/1XL5vhW3sbDhbH9Cz0tuDiY8C3ctxq1tqvaCgkFb8cCA/edit?usp=sharing"",""อุบลราชธานี!I33"")"),1)</f>
        <v>1</v>
      </c>
      <c r="J93" s="142">
        <f ca="1">IFERROR(__xludf.DUMMYFUNCTION("IMPORTRANGE(""https://docs.google.com/spreadsheets/d/1XL5vhW3sbDhbH9Cz0tuDiY8C3ctxq1tqvaCgkFb8cCA/edit?usp=sharing"",""อุบลราชธานี!J33"")"),1)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54" t="s">
        <v>17</v>
      </c>
      <c r="E94" s="555"/>
      <c r="F94" s="555"/>
      <c r="G94" s="555"/>
      <c r="H94" s="149" t="s">
        <v>12</v>
      </c>
      <c r="I94" s="162"/>
      <c r="J94" s="162"/>
      <c r="K94" s="163"/>
      <c r="L94" s="152">
        <f t="shared" ref="L94:N94" ca="1" si="52">L95+L96</f>
        <v>214100</v>
      </c>
      <c r="M94" s="152">
        <f t="shared" ca="1" si="52"/>
        <v>214100</v>
      </c>
      <c r="N94" s="152">
        <f t="shared" ca="1" si="52"/>
        <v>136189.29999999999</v>
      </c>
      <c r="O94" s="151">
        <f t="shared" ref="O94:O96" ca="1" si="53">IF(L94&gt;0,N94*100/L94,0)</f>
        <v>63.610135450723952</v>
      </c>
      <c r="P94" s="151">
        <f t="shared" ref="P94:P96" ca="1" si="54">IF(M94&gt;0,N94*100/M94,0)</f>
        <v>63.610135450723952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214100</v>
      </c>
      <c r="M96" s="157">
        <f t="shared" ca="1" si="56"/>
        <v>214100</v>
      </c>
      <c r="N96" s="157">
        <f t="shared" ca="1" si="56"/>
        <v>136189.29999999999</v>
      </c>
      <c r="O96" s="156">
        <f t="shared" ca="1" si="53"/>
        <v>63.610135450723952</v>
      </c>
      <c r="P96" s="156">
        <f t="shared" ca="1" si="54"/>
        <v>63.610135450723952</v>
      </c>
    </row>
    <row r="97" spans="1:16" ht="21.75" customHeight="1" x14ac:dyDescent="0.45">
      <c r="A97" s="158"/>
      <c r="B97" s="159"/>
      <c r="C97" s="159" t="s">
        <v>16</v>
      </c>
      <c r="D97" s="552" t="s">
        <v>20</v>
      </c>
      <c r="E97" s="553"/>
      <c r="F97" s="55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IFERROR(__xludf.DUMMYFUNCTION("IMPORTRANGE(""https://docs.google.com/spreadsheets/d/1Yj_ptqi66GCucihVvJfMjLAmec39IyEx_6qawtMGysU/edit?usp=sharing"",""สบก!AR57"")"),122100)</f>
        <v>122100</v>
      </c>
      <c r="N98" s="169">
        <f ca="1">IFERROR(__xludf.DUMMYFUNCTION("IMPORTRANGE(""https://docs.google.com/spreadsheets/d/1Yj_ptqi66GCucihVvJfMjLAmec39IyEx_6qawtMGysU/edit?usp=sharing"",""สบก!AS57"")"),44189.3)</f>
        <v>44189.3</v>
      </c>
      <c r="O98" s="169">
        <f ca="1">IF(L98&gt;0,N98*100/L98,0)</f>
        <v>36.191072891072892</v>
      </c>
      <c r="P98" s="169">
        <f ca="1">IF(M98&gt;0,N98*100/M98,0)</f>
        <v>36.191072891072892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IFERROR(__xludf.DUMMYFUNCTION("IMPORTRANGE(""https://docs.google.com/spreadsheets/d/1Yj_ptqi66GCucihVvJfMjLAmec39IyEx_6qawtMGysU/edit?usp=sharing"",""สบก!AN57"")"),0)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IFERROR(__xludf.DUMMYFUNCTION("IMPORTRANGE(""https://docs.google.com/spreadsheets/d/1Yj_ptqi66GCucihVvJfMjLAmec39IyEx_6qawtMGysU/edit?usp=sharing"",""สบก!AO57"")"),122100)</f>
        <v>122100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52" t="s">
        <v>23</v>
      </c>
      <c r="E101" s="55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IFERROR(__xludf.DUMMYFUNCTION("IMPORTRANGE(""https://docs.google.com/spreadsheets/d/1Yj_ptqi66GCucihVvJfMjLAmec39IyEx_6qawtMGysU/edit?usp=sharing"",""สบก!AP57"")"),92000)</f>
        <v>92000</v>
      </c>
      <c r="M102" s="49">
        <f ca="1">L102</f>
        <v>92000</v>
      </c>
      <c r="N102" s="49">
        <f ca="1">IFERROR(__xludf.DUMMYFUNCTION("IMPORTRANGE(""https://docs.google.com/spreadsheets/d/1Yj_ptqi66GCucihVvJfMjLAmec39IyEx_6qawtMGysU/edit?usp=sharing"",""สบก!AT57"")"),92000)</f>
        <v>92000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IFERROR(__xludf.DUMMYFUNCTION("IMPORTRANGE(""https://docs.google.com/spreadsheets/d/1XL5vhW3sbDhbH9Cz0tuDiY8C3ctxq1tqvaCgkFb8cCA/edit?usp=sharing"",""อุบลราชธานี!J39"")"),0)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IFERROR(__xludf.DUMMYFUNCTION("IMPORTRANGE(""https://docs.google.com/spreadsheets/d/1XL5vhW3sbDhbH9Cz0tuDiY8C3ctxq1tqvaCgkFb8cCA/edit?usp=sharing"",""อุบลราชธานี!J40"")"),1)</f>
        <v>1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IFERROR(__xludf.DUMMYFUNCTION("IMPORTRANGE(""https://docs.google.com/spreadsheets/d/1XL5vhW3sbDhbH9Cz0tuDiY8C3ctxq1tqvaCgkFb8cCA/edit?usp=sharing"",""อุบลราชธานี!J41"")"),1)</f>
        <v>1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IFERROR(__xludf.DUMMYFUNCTION("IMPORTRANGE(""https://docs.google.com/spreadsheets/d/1XL5vhW3sbDhbH9Cz0tuDiY8C3ctxq1tqvaCgkFb8cCA/edit?usp=sharing"",""อุบลราชธานี!J42"")"),1)</f>
        <v>1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IFERROR(__xludf.DUMMYFUNCTION("IMPORTRANGE(""https://docs.google.com/spreadsheets/d/1XL5vhW3sbDhbH9Cz0tuDiY8C3ctxq1tqvaCgkFb8cCA/edit?usp=sharing"",""อุบลราชธานี!I43"")"),1)</f>
        <v>1</v>
      </c>
      <c r="J108" s="204">
        <f ca="1">IFERROR(__xludf.DUMMYFUNCTION("IMPORTRANGE(""https://docs.google.com/spreadsheets/d/1XL5vhW3sbDhbH9Cz0tuDiY8C3ctxq1tqvaCgkFb8cCA/edit?usp=sharing"",""อุบลราชธานี!J43"")"),1)</f>
        <v>1</v>
      </c>
      <c r="K108" s="224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IFERROR(__xludf.DUMMYFUNCTION("IMPORTRANGE(""https://docs.google.com/spreadsheets/d/1XL5vhW3sbDhbH9Cz0tuDiY8C3ctxq1tqvaCgkFb8cCA/edit?usp=sharing"",""อุบลราชธานี!I44"")"),4)</f>
        <v>4</v>
      </c>
      <c r="J109" s="204">
        <f ca="1">IFERROR(__xludf.DUMMYFUNCTION("IMPORTRANGE(""https://docs.google.com/spreadsheets/d/1XL5vhW3sbDhbH9Cz0tuDiY8C3ctxq1tqvaCgkFb8cCA/edit?usp=sharing"",""อุบลราชธานี!J44"")"),4)</f>
        <v>4</v>
      </c>
      <c r="K109" s="224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IFERROR(__xludf.DUMMYFUNCTION("IMPORTRANGE(""https://docs.google.com/spreadsheets/d/1XL5vhW3sbDhbH9Cz0tuDiY8C3ctxq1tqvaCgkFb8cCA/edit?usp=sharing"",""อุบลราชธานี!I45"")"),4)</f>
        <v>4</v>
      </c>
      <c r="J110" s="204">
        <f ca="1">IFERROR(__xludf.DUMMYFUNCTION("IMPORTRANGE(""https://docs.google.com/spreadsheets/d/1XL5vhW3sbDhbH9Cz0tuDiY8C3ctxq1tqvaCgkFb8cCA/edit?usp=sharing"",""อุบลราชธานี!J45"")"),4)</f>
        <v>4</v>
      </c>
      <c r="K110" s="224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IFERROR(__xludf.DUMMYFUNCTION("IMPORTRANGE(""https://docs.google.com/spreadsheets/d/1XL5vhW3sbDhbH9Cz0tuDiY8C3ctxq1tqvaCgkFb8cCA/edit?usp=sharing"",""อุบลราชธานี!I46"")"),4)</f>
        <v>4</v>
      </c>
      <c r="J111" s="204">
        <f ca="1">IFERROR(__xludf.DUMMYFUNCTION("IMPORTRANGE(""https://docs.google.com/spreadsheets/d/1XL5vhW3sbDhbH9Cz0tuDiY8C3ctxq1tqvaCgkFb8cCA/edit?usp=sharing"",""อุบลราชธานี!J46"")"),4)</f>
        <v>4</v>
      </c>
      <c r="K111" s="224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IFERROR(__xludf.DUMMYFUNCTION("IMPORTRANGE(""https://docs.google.com/spreadsheets/d/1XL5vhW3sbDhbH9Cz0tuDiY8C3ctxq1tqvaCgkFb8cCA/edit?usp=sharing"",""อุบลราชธานี!I47"")"),4)</f>
        <v>4</v>
      </c>
      <c r="J112" s="204">
        <f ca="1">IFERROR(__xludf.DUMMYFUNCTION("IMPORTRANGE(""https://docs.google.com/spreadsheets/d/1XL5vhW3sbDhbH9Cz0tuDiY8C3ctxq1tqvaCgkFb8cCA/edit?usp=sharing"",""อุบลราชธานี!J47"")"),4)</f>
        <v>4</v>
      </c>
      <c r="K112" s="224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IFERROR(__xludf.DUMMYFUNCTION("IMPORTRANGE(""https://docs.google.com/spreadsheets/d/1XL5vhW3sbDhbH9Cz0tuDiY8C3ctxq1tqvaCgkFb8cCA/edit?usp=sharing"",""อุบลราชธานี!I48"")"),1)</f>
        <v>1</v>
      </c>
      <c r="J113" s="204">
        <f ca="1">IFERROR(__xludf.DUMMYFUNCTION("IMPORTRANGE(""https://docs.google.com/spreadsheets/d/1XL5vhW3sbDhbH9Cz0tuDiY8C3ctxq1tqvaCgkFb8cCA/edit?usp=sharing"",""อุบลราชธานี!J48"")"),1)</f>
        <v>1</v>
      </c>
      <c r="K113" s="224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IFERROR(__xludf.DUMMYFUNCTION("IMPORTRANGE(""https://docs.google.com/spreadsheets/d/1XL5vhW3sbDhbH9Cz0tuDiY8C3ctxq1tqvaCgkFb8cCA/edit?usp=sharing"",""อุบลราชธานี!J49"")"),0)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IFERROR(__xludf.DUMMYFUNCTION("IMPORTRANGE(""https://docs.google.com/spreadsheets/d/1XL5vhW3sbDhbH9Cz0tuDiY8C3ctxq1tqvaCgkFb8cCA/edit?usp=sharing"",""อุบลราชธานี!J50"")"),0)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IFERROR(__xludf.DUMMYFUNCTION("IMPORTRANGE(""https://docs.google.com/spreadsheets/d/1XL5vhW3sbDhbH9Cz0tuDiY8C3ctxq1tqvaCgkFb8cCA/edit?usp=sharing"",""อุบลราชธานี!I52"")"),0)</f>
        <v>0</v>
      </c>
      <c r="J117" s="142">
        <f ca="1">IFERROR(__xludf.DUMMYFUNCTION("IMPORTRANGE(""https://docs.google.com/spreadsheets/d/1XL5vhW3sbDhbH9Cz0tuDiY8C3ctxq1tqvaCgkFb8cCA/edit?usp=sharing"",""อุบลราชธานี!J52"")"),0)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54" t="s">
        <v>17</v>
      </c>
      <c r="E118" s="555"/>
      <c r="F118" s="555"/>
      <c r="G118" s="55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52" t="s">
        <v>20</v>
      </c>
      <c r="E121" s="553"/>
      <c r="F121" s="55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IFERROR(__xludf.DUMMYFUNCTION("IMPORTRANGE(""https://docs.google.com/spreadsheets/d/1Yj_ptqi66GCucihVvJfMjLAmec39IyEx_6qawtMGysU/edit?usp=sharing"",""สบก!BA57"")"),0)</f>
        <v>0</v>
      </c>
      <c r="N122" s="169">
        <f ca="1">IFERROR(__xludf.DUMMYFUNCTION("IMPORTRANGE(""https://docs.google.com/spreadsheets/d/1Yj_ptqi66GCucihVvJfMjLAmec39IyEx_6qawtMGysU/edit?usp=sharing"",""สบก!BB57"")"),0)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IFERROR(__xludf.DUMMYFUNCTION("IMPORTRANGE(""https://docs.google.com/spreadsheets/d/1Yj_ptqi66GCucihVvJfMjLAmec39IyEx_6qawtMGysU/edit?usp=sharing"",""สบก!AW57"")"),0)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IFERROR(__xludf.DUMMYFUNCTION("IMPORTRANGE(""https://docs.google.com/spreadsheets/d/1Yj_ptqi66GCucihVvJfMjLAmec39IyEx_6qawtMGysU/edit?usp=sharing"",""สบก!AX57"")"),0)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52" t="s">
        <v>23</v>
      </c>
      <c r="E125" s="55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IFERROR(__xludf.DUMMYFUNCTION("IMPORTRANGE(""https://docs.google.com/spreadsheets/d/1Yj_ptqi66GCucihVvJfMjLAmec39IyEx_6qawtMGysU/edit?usp=sharing"",""สบก!AY57"")"),0)</f>
        <v>0</v>
      </c>
      <c r="M126" s="49"/>
      <c r="N126" s="49">
        <f ca="1">IFERROR(__xludf.DUMMYFUNCTION("IMPORTRANGE(""https://docs.google.com/spreadsheets/d/1Yj_ptqi66GCucihVvJfMjLAmec39IyEx_6qawtMGysU/edit?usp=sharing"",""สบก!BC57"")"),0)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3" t="s">
        <v>277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IFERROR(__xludf.DUMMYFUNCTION("IMPORTRANGE(""https://docs.google.com/spreadsheets/d/1XL5vhW3sbDhbH9Cz0tuDiY8C3ctxq1tqvaCgkFb8cCA/edit?usp=sharing"",""อุบลราชธานี!J58"")"),0)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IFERROR(__xludf.DUMMYFUNCTION("IMPORTRANGE(""https://docs.google.com/spreadsheets/d/1XL5vhW3sbDhbH9Cz0tuDiY8C3ctxq1tqvaCgkFb8cCA/edit?usp=sharing"",""อุบลราชธานี!J59"")"),0)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IFERROR(__xludf.DUMMYFUNCTION("IMPORTRANGE(""https://docs.google.com/spreadsheets/d/1XL5vhW3sbDhbH9Cz0tuDiY8C3ctxq1tqvaCgkFb8cCA/edit?usp=sharing"",""อุบลราชธานี!J60"")"),0)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IFERROR(__xludf.DUMMYFUNCTION("IMPORTRANGE(""https://docs.google.com/spreadsheets/d/1XL5vhW3sbDhbH9Cz0tuDiY8C3ctxq1tqvaCgkFb8cCA/edit?usp=sharing"",""อุบลราชธานี!J61"")"),0)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IFERROR(__xludf.DUMMYFUNCTION("IMPORTRANGE(""https://docs.google.com/spreadsheets/d/1XL5vhW3sbDhbH9Cz0tuDiY8C3ctxq1tqvaCgkFb8cCA/edit?usp=sharing"",""อุบลราชธานี!I62"")"),0)</f>
        <v>0</v>
      </c>
      <c r="J132" s="204">
        <f ca="1">IFERROR(__xludf.DUMMYFUNCTION("IMPORTRANGE(""https://docs.google.com/spreadsheets/d/1XL5vhW3sbDhbH9Cz0tuDiY8C3ctxq1tqvaCgkFb8cCA/edit?usp=sharing"",""อุบลราชธานี!J62"")"),0)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IFERROR(__xludf.DUMMYFUNCTION("IMPORTRANGE(""https://docs.google.com/spreadsheets/d/1XL5vhW3sbDhbH9Cz0tuDiY8C3ctxq1tqvaCgkFb8cCA/edit?usp=sharing"",""อุบลราชธานี!I63"")"),0)</f>
        <v>0</v>
      </c>
      <c r="J133" s="204">
        <f ca="1">IFERROR(__xludf.DUMMYFUNCTION("IMPORTRANGE(""https://docs.google.com/spreadsheets/d/1XL5vhW3sbDhbH9Cz0tuDiY8C3ctxq1tqvaCgkFb8cCA/edit?usp=sharing"",""อุบลราชธานี!J63"")"),0)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IFERROR(__xludf.DUMMYFUNCTION("IMPORTRANGE(""https://docs.google.com/spreadsheets/d/1XL5vhW3sbDhbH9Cz0tuDiY8C3ctxq1tqvaCgkFb8cCA/edit?usp=sharing"",""อุบลราชธานี!J64"")"),0)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IFERROR(__xludf.DUMMYFUNCTION("IMPORTRANGE(""https://docs.google.com/spreadsheets/d/1XL5vhW3sbDhbH9Cz0tuDiY8C3ctxq1tqvaCgkFb8cCA/edit?usp=sharing"",""อุบลราชธานี!J65"")"),0)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IFERROR(__xludf.DUMMYFUNCTION("IMPORTRANGE(""https://docs.google.com/spreadsheets/d/1XL5vhW3sbDhbH9Cz0tuDiY8C3ctxq1tqvaCgkFb8cCA/edit?usp=sharing"",""อุบลราชธานี!I68"")"),50)</f>
        <v>50</v>
      </c>
      <c r="J138" s="267">
        <f ca="1">IFERROR(__xludf.DUMMYFUNCTION("IMPORTRANGE(""https://docs.google.com/spreadsheets/d/1XL5vhW3sbDhbH9Cz0tuDiY8C3ctxq1tqvaCgkFb8cCA/edit?usp=sharing"",""อุบลราชธานี!J68"")"),50)</f>
        <v>50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54" t="s">
        <v>17</v>
      </c>
      <c r="E140" s="555"/>
      <c r="F140" s="555"/>
      <c r="G140" s="555"/>
      <c r="H140" s="149" t="s">
        <v>12</v>
      </c>
      <c r="I140" s="162"/>
      <c r="J140" s="162"/>
      <c r="K140" s="163"/>
      <c r="L140" s="152">
        <f t="shared" ref="L140:N140" ca="1" si="64">L141+L142</f>
        <v>912850</v>
      </c>
      <c r="M140" s="152">
        <f t="shared" ca="1" si="64"/>
        <v>736275</v>
      </c>
      <c r="N140" s="152">
        <f t="shared" ca="1" si="64"/>
        <v>518736.7</v>
      </c>
      <c r="O140" s="151">
        <f t="shared" ref="O140:O142" ca="1" si="65">IF(L140&gt;0,N140*100/L140,0)</f>
        <v>56.82606123678589</v>
      </c>
      <c r="P140" s="151">
        <f t="shared" ref="P140:P142" ca="1" si="66">IF(M140&gt;0,N140*100/M140,0)</f>
        <v>70.454205290142951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912850</v>
      </c>
      <c r="M142" s="157">
        <f t="shared" ca="1" si="68"/>
        <v>736275</v>
      </c>
      <c r="N142" s="157">
        <f t="shared" ca="1" si="68"/>
        <v>518736.7</v>
      </c>
      <c r="O142" s="156">
        <f t="shared" ca="1" si="65"/>
        <v>56.82606123678589</v>
      </c>
      <c r="P142" s="156">
        <f t="shared" ca="1" si="66"/>
        <v>70.454205290142951</v>
      </c>
    </row>
    <row r="143" spans="1:16" ht="21.75" customHeight="1" x14ac:dyDescent="0.45">
      <c r="A143" s="158"/>
      <c r="B143" s="159"/>
      <c r="C143" s="159" t="s">
        <v>16</v>
      </c>
      <c r="D143" s="552" t="s">
        <v>20</v>
      </c>
      <c r="E143" s="553"/>
      <c r="F143" s="55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912850</v>
      </c>
      <c r="M144" s="168">
        <f ca="1">IFERROR(__xludf.DUMMYFUNCTION("IMPORTRANGE(""https://docs.google.com/spreadsheets/d/1Yj_ptqi66GCucihVvJfMjLAmec39IyEx_6qawtMGysU/edit?usp=sharing"",""สบก!BJ57"")"),736275)</f>
        <v>736275</v>
      </c>
      <c r="N144" s="169">
        <f ca="1">IFERROR(__xludf.DUMMYFUNCTION("IMPORTRANGE(""https://docs.google.com/spreadsheets/d/1Yj_ptqi66GCucihVvJfMjLAmec39IyEx_6qawtMGysU/edit?usp=sharing"",""สบก!BK57"")"),518736.7)</f>
        <v>518736.7</v>
      </c>
      <c r="O144" s="169">
        <f ca="1">IF(L144&gt;0,N144*100/L144,0)</f>
        <v>56.82606123678589</v>
      </c>
      <c r="P144" s="169">
        <f ca="1">IF(M144&gt;0,N144*100/M144,0)</f>
        <v>70.454205290142951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IFERROR(__xludf.DUMMYFUNCTION("IMPORTRANGE(""https://docs.google.com/spreadsheets/d/1Yj_ptqi66GCucihVvJfMjLAmec39IyEx_6qawtMGysU/edit?usp=sharing"",""สบก!BF57"")"),469000)</f>
        <v>469000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IFERROR(__xludf.DUMMYFUNCTION("IMPORTRANGE(""https://docs.google.com/spreadsheets/d/1Yj_ptqi66GCucihVvJfMjLAmec39IyEx_6qawtMGysU/edit?usp=sharing"",""สบก!BG57"")"),443850)</f>
        <v>443850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52" t="s">
        <v>23</v>
      </c>
      <c r="E147" s="55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IFERROR(__xludf.DUMMYFUNCTION("IMPORTRANGE(""https://docs.google.com/spreadsheets/d/1Yj_ptqi66GCucihVvJfMjLAmec39IyEx_6qawtMGysU/edit?usp=sharing"",""สบก!BH57"")"),0)</f>
        <v>0</v>
      </c>
      <c r="M148" s="49"/>
      <c r="N148" s="49">
        <f ca="1">IFERROR(__xludf.DUMMYFUNCTION("IMPORTRANGE(""https://docs.google.com/spreadsheets/d/1Yj_ptqi66GCucihVvJfMjLAmec39IyEx_6qawtMGysU/edit?usp=sharing"",""สบก!BL57"")"),0)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IFERROR(__xludf.DUMMYFUNCTION("IMPORTRANGE(""https://docs.google.com/spreadsheets/d/1XL5vhW3sbDhbH9Cz0tuDiY8C3ctxq1tqvaCgkFb8cCA/edit?usp=sharing"",""อุบลราชธานี!I74"")"),4)</f>
        <v>4</v>
      </c>
      <c r="J149" s="275">
        <f ca="1">IFERROR(__xludf.DUMMYFUNCTION("IMPORTRANGE(""https://docs.google.com/spreadsheets/d/1XL5vhW3sbDhbH9Cz0tuDiY8C3ctxq1tqvaCgkFb8cCA/edit?usp=sharing"",""อุบลราชธานี!J74"")"),2)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IFERROR(__xludf.DUMMYFUNCTION("IMPORTRANGE(""https://docs.google.com/spreadsheets/d/1XL5vhW3sbDhbH9Cz0tuDiY8C3ctxq1tqvaCgkFb8cCA/edit?usp=sharing"",""อุบลราชธานี!J79"")"),0)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IFERROR(__xludf.DUMMYFUNCTION("IMPORTRANGE(""https://docs.google.com/spreadsheets/d/1XL5vhW3sbDhbH9Cz0tuDiY8C3ctxq1tqvaCgkFb8cCA/edit?usp=sharing"",""อุบลราชธานี!J80"")"),1)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IFERROR(__xludf.DUMMYFUNCTION("IMPORTRANGE(""https://docs.google.com/spreadsheets/d/1XL5vhW3sbDhbH9Cz0tuDiY8C3ctxq1tqvaCgkFb8cCA/edit?usp=sharing"",""อุบลราชธานี!J81"")"),1)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IFERROR(__xludf.DUMMYFUNCTION("IMPORTRANGE(""https://docs.google.com/spreadsheets/d/1XL5vhW3sbDhbH9Cz0tuDiY8C3ctxq1tqvaCgkFb8cCA/edit?usp=sharing"",""อุบลราชธานี!J82"")"),1)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IFERROR(__xludf.DUMMYFUNCTION("IMPORTRANGE(""https://docs.google.com/spreadsheets/d/1XL5vhW3sbDhbH9Cz0tuDiY8C3ctxq1tqvaCgkFb8cCA/edit?usp=sharing"",""อุบลราชธานี!I83"")"),4)</f>
        <v>4</v>
      </c>
      <c r="J158" s="189">
        <f ca="1">IFERROR(__xludf.DUMMYFUNCTION("IMPORTRANGE(""https://docs.google.com/spreadsheets/d/1XL5vhW3sbDhbH9Cz0tuDiY8C3ctxq1tqvaCgkFb8cCA/edit?usp=sharing"",""อุบลราชธานี!J83"")"),2)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IFERROR(__xludf.DUMMYFUNCTION("IMPORTRANGE(""https://docs.google.com/spreadsheets/d/1XL5vhW3sbDhbH9Cz0tuDiY8C3ctxq1tqvaCgkFb8cCA/edit?usp=sharing"",""อุบลราชธานี!J84"")"),76)</f>
        <v>76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IFERROR(__xludf.DUMMYFUNCTION("IMPORTRANGE(""https://docs.google.com/spreadsheets/d/1XL5vhW3sbDhbH9Cz0tuDiY8C3ctxq1tqvaCgkFb8cCA/edit?usp=sharing"",""อุบลราชธานี!J85"")"),76)</f>
        <v>76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IFERROR(__xludf.DUMMYFUNCTION("IMPORTRANGE(""https://docs.google.com/spreadsheets/d/1XL5vhW3sbDhbH9Cz0tuDiY8C3ctxq1tqvaCgkFb8cCA/edit?usp=sharing"",""อุบลราชธานี!J86"")"),0)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IFERROR(__xludf.DUMMYFUNCTION("IMPORTRANGE(""https://docs.google.com/spreadsheets/d/1XL5vhW3sbDhbH9Cz0tuDiY8C3ctxq1tqvaCgkFb8cCA/edit?usp=sharing"",""อุบลราชธานี!J87"")"),0)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IFERROR(__xludf.DUMMYFUNCTION("IMPORTRANGE(""https://docs.google.com/spreadsheets/d/1XL5vhW3sbDhbH9Cz0tuDiY8C3ctxq1tqvaCgkFb8cCA/edit?usp=sharing"",""อุบลราชธานี!J88"")"),0)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IFERROR(__xludf.DUMMYFUNCTION("IMPORTRANGE(""https://docs.google.com/spreadsheets/d/1XL5vhW3sbDhbH9Cz0tuDiY8C3ctxq1tqvaCgkFb8cCA/edit?usp=sharing"",""อุบลราชธานี!I89"")"),4)</f>
        <v>4</v>
      </c>
      <c r="J164" s="284">
        <f ca="1">IFERROR(__xludf.DUMMYFUNCTION("IMPORTRANGE(""https://docs.google.com/spreadsheets/d/1XL5vhW3sbDhbH9Cz0tuDiY8C3ctxq1tqvaCgkFb8cCA/edit?usp=sharing"",""อุบลราชธานี!J89"")"),4)</f>
        <v>4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IFERROR(__xludf.DUMMYFUNCTION("IMPORTRANGE(""https://docs.google.com/spreadsheets/d/1XL5vhW3sbDhbH9Cz0tuDiY8C3ctxq1tqvaCgkFb8cCA/edit?usp=sharing"",""อุบลราชธานี!J94"")"),0)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IFERROR(__xludf.DUMMYFUNCTION("IMPORTRANGE(""https://docs.google.com/spreadsheets/d/1XL5vhW3sbDhbH9Cz0tuDiY8C3ctxq1tqvaCgkFb8cCA/edit?usp=sharing"",""อุบลราชธานี!J95"")"),1)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IFERROR(__xludf.DUMMYFUNCTION("IMPORTRANGE(""https://docs.google.com/spreadsheets/d/1XL5vhW3sbDhbH9Cz0tuDiY8C3ctxq1tqvaCgkFb8cCA/edit?usp=sharing"",""อุบลราชธานี!J96"")"),1)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IFERROR(__xludf.DUMMYFUNCTION("IMPORTRANGE(""https://docs.google.com/spreadsheets/d/1XL5vhW3sbDhbH9Cz0tuDiY8C3ctxq1tqvaCgkFb8cCA/edit?usp=sharing"",""อุบลราชธานี!J97"")"),1)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IFERROR(__xludf.DUMMYFUNCTION("IMPORTRANGE(""https://docs.google.com/spreadsheets/d/1XL5vhW3sbDhbH9Cz0tuDiY8C3ctxq1tqvaCgkFb8cCA/edit?usp=sharing"",""อุบลราชธานี!I98"")"),4)</f>
        <v>4</v>
      </c>
      <c r="J173" s="189">
        <f ca="1">IFERROR(__xludf.DUMMYFUNCTION("IMPORTRANGE(""https://docs.google.com/spreadsheets/d/1XL5vhW3sbDhbH9Cz0tuDiY8C3ctxq1tqvaCgkFb8cCA/edit?usp=sharing"",""อุบลราชธานี!J98"")"),4)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IFERROR(__xludf.DUMMYFUNCTION("IMPORTRANGE(""https://docs.google.com/spreadsheets/d/1XL5vhW3sbDhbH9Cz0tuDiY8C3ctxq1tqvaCgkFb8cCA/edit?usp=sharing"",""อุบลราชธานี!J99"")"),1)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IFERROR(__xludf.DUMMYFUNCTION("IMPORTRANGE(""https://docs.google.com/spreadsheets/d/1XL5vhW3sbDhbH9Cz0tuDiY8C3ctxq1tqvaCgkFb8cCA/edit?usp=sharing"",""อุบลราชธานี!J100"")"),0)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IFERROR(__xludf.DUMMYFUNCTION("IMPORTRANGE(""https://docs.google.com/spreadsheets/d/1XL5vhW3sbDhbH9Cz0tuDiY8C3ctxq1tqvaCgkFb8cCA/edit?usp=sharing"",""อุบลราชธานี!I101"")"),2)</f>
        <v>2</v>
      </c>
      <c r="J176" s="284">
        <f ca="1">IFERROR(__xludf.DUMMYFUNCTION("IMPORTRANGE(""https://docs.google.com/spreadsheets/d/1XL5vhW3sbDhbH9Cz0tuDiY8C3ctxq1tqvaCgkFb8cCA/edit?usp=sharing"",""อุบลราชธานี!J101"")"),2)</f>
        <v>2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IFERROR(__xludf.DUMMYFUNCTION("IMPORTRANGE(""https://docs.google.com/spreadsheets/d/1XL5vhW3sbDhbH9Cz0tuDiY8C3ctxq1tqvaCgkFb8cCA/edit?usp=sharing"",""อุบลราชธานี!J106"")"),0)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IFERROR(__xludf.DUMMYFUNCTION("IMPORTRANGE(""https://docs.google.com/spreadsheets/d/1XL5vhW3sbDhbH9Cz0tuDiY8C3ctxq1tqvaCgkFb8cCA/edit?usp=sharing"",""อุบลราชธานี!J107"")"),1)</f>
        <v>1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IFERROR(__xludf.DUMMYFUNCTION("IMPORTRANGE(""https://docs.google.com/spreadsheets/d/1XL5vhW3sbDhbH9Cz0tuDiY8C3ctxq1tqvaCgkFb8cCA/edit?usp=sharing"",""อุบลราชธานี!J108"")"),1)</f>
        <v>1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IFERROR(__xludf.DUMMYFUNCTION("IMPORTRANGE(""https://docs.google.com/spreadsheets/d/1XL5vhW3sbDhbH9Cz0tuDiY8C3ctxq1tqvaCgkFb8cCA/edit?usp=sharing"",""อุบลราชธานี!J109"")"),1)</f>
        <v>1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IFERROR(__xludf.DUMMYFUNCTION("IMPORTRANGE(""https://docs.google.com/spreadsheets/d/1XL5vhW3sbDhbH9Cz0tuDiY8C3ctxq1tqvaCgkFb8cCA/edit?usp=sharing"",""อุบลราชธานี!I110"")"),2)</f>
        <v>2</v>
      </c>
      <c r="J185" s="204">
        <f ca="1">IFERROR(__xludf.DUMMYFUNCTION("IMPORTRANGE(""https://docs.google.com/spreadsheets/d/1XL5vhW3sbDhbH9Cz0tuDiY8C3ctxq1tqvaCgkFb8cCA/edit?usp=sharing"",""อุบลราชธานี!J110"")"),2)</f>
        <v>2</v>
      </c>
      <c r="K185" s="224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IFERROR(__xludf.DUMMYFUNCTION("IMPORTRANGE(""https://docs.google.com/spreadsheets/d/1XL5vhW3sbDhbH9Cz0tuDiY8C3ctxq1tqvaCgkFb8cCA/edit?usp=sharing"",""อุบลราชธานี!I111"")"),2)</f>
        <v>2</v>
      </c>
      <c r="J186" s="204">
        <f ca="1">IFERROR(__xludf.DUMMYFUNCTION("IMPORTRANGE(""https://docs.google.com/spreadsheets/d/1XL5vhW3sbDhbH9Cz0tuDiY8C3ctxq1tqvaCgkFb8cCA/edit?usp=sharing"",""อุบลราชธานี!J111"")"),2)</f>
        <v>2</v>
      </c>
      <c r="K186" s="224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IFERROR(__xludf.DUMMYFUNCTION("IMPORTRANGE(""https://docs.google.com/spreadsheets/d/1XL5vhW3sbDhbH9Cz0tuDiY8C3ctxq1tqvaCgkFb8cCA/edit?usp=sharing"",""อุบลราชธานี!J112"")"),0)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IFERROR(__xludf.DUMMYFUNCTION("IMPORTRANGE(""https://docs.google.com/spreadsheets/d/1XL5vhW3sbDhbH9Cz0tuDiY8C3ctxq1tqvaCgkFb8cCA/edit?usp=sharing"",""อุบลราชธานี!J113"")"),0)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IFERROR(__xludf.DUMMYFUNCTION("IMPORTRANGE(""https://docs.google.com/spreadsheets/d/1XL5vhW3sbDhbH9Cz0tuDiY8C3ctxq1tqvaCgkFb8cCA/edit?usp=sharing"",""อุบลราชธานี!I114"")"),30000)</f>
        <v>30000</v>
      </c>
      <c r="J189" s="284">
        <f ca="1">IFERROR(__xludf.DUMMYFUNCTION("IMPORTRANGE(""https://docs.google.com/spreadsheets/d/1XL5vhW3sbDhbH9Cz0tuDiY8C3ctxq1tqvaCgkFb8cCA/edit?usp=sharing"",""อุบลราชธานี!J114"")"),0)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IFERROR(__xludf.DUMMYFUNCTION("IMPORTRANGE(""https://docs.google.com/spreadsheets/d/1XL5vhW3sbDhbH9Cz0tuDiY8C3ctxq1tqvaCgkFb8cCA/edit?usp=sharing"",""อุบลราชธานี!J119"")"),0)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IFERROR(__xludf.DUMMYFUNCTION("IMPORTRANGE(""https://docs.google.com/spreadsheets/d/1XL5vhW3sbDhbH9Cz0tuDiY8C3ctxq1tqvaCgkFb8cCA/edit?usp=sharing"",""อุบลราชธานี!J120"")"),1)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IFERROR(__xludf.DUMMYFUNCTION("IMPORTRANGE(""https://docs.google.com/spreadsheets/d/1XL5vhW3sbDhbH9Cz0tuDiY8C3ctxq1tqvaCgkFb8cCA/edit?usp=sharing"",""อุบลราชธานี!J121"")"),1)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IFERROR(__xludf.DUMMYFUNCTION("IMPORTRANGE(""https://docs.google.com/spreadsheets/d/1XL5vhW3sbDhbH9Cz0tuDiY8C3ctxq1tqvaCgkFb8cCA/edit?usp=sharing"",""อุบลราชธานี!J122"")"),1)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IFERROR(__xludf.DUMMYFUNCTION("IMPORTRANGE(""https://docs.google.com/spreadsheets/d/1XL5vhW3sbDhbH9Cz0tuDiY8C3ctxq1tqvaCgkFb8cCA/edit?usp=sharing"",""อุบลราชธานี!I124"")"),30000)</f>
        <v>30000</v>
      </c>
      <c r="J199" s="189">
        <f ca="1">IFERROR(__xludf.DUMMYFUNCTION("IMPORTRANGE(""https://docs.google.com/spreadsheets/d/1XL5vhW3sbDhbH9Cz0tuDiY8C3ctxq1tqvaCgkFb8cCA/edit?usp=sharing"",""อุบลราชธานี!J124"")"),30000)</f>
        <v>30000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IFERROR(__xludf.DUMMYFUNCTION("IMPORTRANGE(""https://docs.google.com/spreadsheets/d/1XL5vhW3sbDhbH9Cz0tuDiY8C3ctxq1tqvaCgkFb8cCA/edit?usp=sharing"",""อุบลราชธานี!I125"")"),30000)</f>
        <v>30000</v>
      </c>
      <c r="J200" s="189">
        <f ca="1">IFERROR(__xludf.DUMMYFUNCTION("IMPORTRANGE(""https://docs.google.com/spreadsheets/d/1XL5vhW3sbDhbH9Cz0tuDiY8C3ctxq1tqvaCgkFb8cCA/edit?usp=sharing"",""อุบลราชธานี!J125"")"),0)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IFERROR(__xludf.DUMMYFUNCTION("IMPORTRANGE(""https://docs.google.com/spreadsheets/d/1XL5vhW3sbDhbH9Cz0tuDiY8C3ctxq1tqvaCgkFb8cCA/edit?usp=sharing"",""อุบลราชธานี!I126"")"),0)</f>
        <v>0</v>
      </c>
      <c r="J201" s="189">
        <f ca="1">IFERROR(__xludf.DUMMYFUNCTION("IMPORTRANGE(""https://docs.google.com/spreadsheets/d/1XL5vhW3sbDhbH9Cz0tuDiY8C3ctxq1tqvaCgkFb8cCA/edit?usp=sharing"",""อุบลราชธานี!J126"")"),0)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IFERROR(__xludf.DUMMYFUNCTION("IMPORTRANGE(""https://docs.google.com/spreadsheets/d/1XL5vhW3sbDhbH9Cz0tuDiY8C3ctxq1tqvaCgkFb8cCA/edit?usp=sharing"",""อุบลราชธานี!J127"")"),0)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IFERROR(__xludf.DUMMYFUNCTION("IMPORTRANGE(""https://docs.google.com/spreadsheets/d/1XL5vhW3sbDhbH9Cz0tuDiY8C3ctxq1tqvaCgkFb8cCA/edit?usp=sharing"",""อุบลราชธานี!J128"")"),0)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IFERROR(__xludf.DUMMYFUNCTION("IMPORTRANGE(""https://docs.google.com/spreadsheets/d/1XL5vhW3sbDhbH9Cz0tuDiY8C3ctxq1tqvaCgkFb8cCA/edit?usp=sharing"",""อุบลราชธานี!I129"")"),50)</f>
        <v>50</v>
      </c>
      <c r="J204" s="284">
        <f ca="1">IFERROR(__xludf.DUMMYFUNCTION("IMPORTRANGE(""https://docs.google.com/spreadsheets/d/1XL5vhW3sbDhbH9Cz0tuDiY8C3ctxq1tqvaCgkFb8cCA/edit?usp=sharing"",""อุบลราชธานี!J129"")"),50)</f>
        <v>50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IFERROR(__xludf.DUMMYFUNCTION("IMPORTRANGE(""https://docs.google.com/spreadsheets/d/1XL5vhW3sbDhbH9Cz0tuDiY8C3ctxq1tqvaCgkFb8cCA/edit?usp=sharing"",""อุบลราชธานี!J134"")"),0)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IFERROR(__xludf.DUMMYFUNCTION("IMPORTRANGE(""https://docs.google.com/spreadsheets/d/1XL5vhW3sbDhbH9Cz0tuDiY8C3ctxq1tqvaCgkFb8cCA/edit?usp=sharing"",""อุบลราชธานี!J135"")"),1)</f>
        <v>1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IFERROR(__xludf.DUMMYFUNCTION("IMPORTRANGE(""https://docs.google.com/spreadsheets/d/1XL5vhW3sbDhbH9Cz0tuDiY8C3ctxq1tqvaCgkFb8cCA/edit?usp=sharing"",""อุบลราชธานี!J136"")"),1)</f>
        <v>1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IFERROR(__xludf.DUMMYFUNCTION("IMPORTRANGE(""https://docs.google.com/spreadsheets/d/1XL5vhW3sbDhbH9Cz0tuDiY8C3ctxq1tqvaCgkFb8cCA/edit?usp=sharing"",""อุบลราชธานี!J137"")"),1)</f>
        <v>1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IFERROR(__xludf.DUMMYFUNCTION("IMPORTRANGE(""https://docs.google.com/spreadsheets/d/1XL5vhW3sbDhbH9Cz0tuDiY8C3ctxq1tqvaCgkFb8cCA/edit?usp=sharing"",""อุบลราชธานี!I138"")"),50)</f>
        <v>50</v>
      </c>
      <c r="J213" s="204">
        <f ca="1">IFERROR(__xludf.DUMMYFUNCTION("IMPORTRANGE(""https://docs.google.com/spreadsheets/d/1XL5vhW3sbDhbH9Cz0tuDiY8C3ctxq1tqvaCgkFb8cCA/edit?usp=sharing"",""อุบลราชธานี!J138"")"),50)</f>
        <v>50</v>
      </c>
      <c r="K213" s="224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IFERROR(__xludf.DUMMYFUNCTION("IMPORTRANGE(""https://docs.google.com/spreadsheets/d/1XL5vhW3sbDhbH9Cz0tuDiY8C3ctxq1tqvaCgkFb8cCA/edit?usp=sharing"",""อุบลราชธานี!I140"")"),0)</f>
        <v>0</v>
      </c>
      <c r="J215" s="204">
        <f ca="1">IFERROR(__xludf.DUMMYFUNCTION("IMPORTRANGE(""https://docs.google.com/spreadsheets/d/1XL5vhW3sbDhbH9Cz0tuDiY8C3ctxq1tqvaCgkFb8cCA/edit?usp=sharing"",""อุบลราชธานี!J140"")"),0)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IFERROR(__xludf.DUMMYFUNCTION("IMPORTRANGE(""https://docs.google.com/spreadsheets/d/1XL5vhW3sbDhbH9Cz0tuDiY8C3ctxq1tqvaCgkFb8cCA/edit?usp=sharing"",""อุบลราชธานี!I141"")"),15)</f>
        <v>15</v>
      </c>
      <c r="J216" s="204">
        <f ca="1">IFERROR(__xludf.DUMMYFUNCTION("IMPORTRANGE(""https://docs.google.com/spreadsheets/d/1XL5vhW3sbDhbH9Cz0tuDiY8C3ctxq1tqvaCgkFb8cCA/edit?usp=sharing"",""อุบลราชธานี!J141"")"),0)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IFERROR(__xludf.DUMMYFUNCTION("IMPORTRANGE(""https://docs.google.com/spreadsheets/d/1XL5vhW3sbDhbH9Cz0tuDiY8C3ctxq1tqvaCgkFb8cCA/edit?usp=sharing"",""อุบลราชธานี!J142"")"),0)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IFERROR(__xludf.DUMMYFUNCTION("IMPORTRANGE(""https://docs.google.com/spreadsheets/d/1XL5vhW3sbDhbH9Cz0tuDiY8C3ctxq1tqvaCgkFb8cCA/edit?usp=sharing"",""อุบลราชธานี!J143"")"),0)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IFERROR(__xludf.DUMMYFUNCTION("IMPORTRANGE(""https://docs.google.com/spreadsheets/d/1XL5vhW3sbDhbH9Cz0tuDiY8C3ctxq1tqvaCgkFb8cCA/edit?usp=sharing"",""อุบลราชธานี!I144"")"),15)</f>
        <v>15</v>
      </c>
      <c r="J219" s="267">
        <f ca="1">IFERROR(__xludf.DUMMYFUNCTION("IMPORTRANGE(""https://docs.google.com/spreadsheets/d/1XL5vhW3sbDhbH9Cz0tuDiY8C3ctxq1tqvaCgkFb8cCA/edit?usp=sharing"",""อุบลราชธานี!J144"")"),15)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54" t="s">
        <v>17</v>
      </c>
      <c r="E220" s="555"/>
      <c r="F220" s="555"/>
      <c r="G220" s="55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45">
      <c r="A223" s="158"/>
      <c r="B223" s="159"/>
      <c r="C223" s="159" t="s">
        <v>16</v>
      </c>
      <c r="D223" s="552" t="s">
        <v>20</v>
      </c>
      <c r="E223" s="553"/>
      <c r="F223" s="55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IFERROR(__xludf.DUMMYFUNCTION("IMPORTRANGE(""https://docs.google.com/spreadsheets/d/1Yj_ptqi66GCucihVvJfMjLAmec39IyEx_6qawtMGysU/edit?usp=sharing"",""สบก!BS57"")"),21125)</f>
        <v>21125</v>
      </c>
      <c r="N224" s="169">
        <f ca="1">IFERROR(__xludf.DUMMYFUNCTION("IMPORTRANGE(""https://docs.google.com/spreadsheets/d/1Yj_ptqi66GCucihVvJfMjLAmec39IyEx_6qawtMGysU/edit?usp=sharing"",""สบก!BT57"")"),0)</f>
        <v>0</v>
      </c>
      <c r="O224" s="169">
        <f ca="1">IF(L224&gt;0,N224*100/L224,0)</f>
        <v>0</v>
      </c>
      <c r="P224" s="169">
        <f ca="1">IF(M224&gt;0,N224*100/M224,0)</f>
        <v>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IFERROR(__xludf.DUMMYFUNCTION("IMPORTRANGE(""https://docs.google.com/spreadsheets/d/1Yj_ptqi66GCucihVvJfMjLAmec39IyEx_6qawtMGysU/edit?usp=sharing"",""สบก!BO57"")"),0)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IFERROR(__xludf.DUMMYFUNCTION("IMPORTRANGE(""https://docs.google.com/spreadsheets/d/1Yj_ptqi66GCucihVvJfMjLAmec39IyEx_6qawtMGysU/edit?usp=sharing"",""สบก!BP57"")"),21125)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52" t="s">
        <v>23</v>
      </c>
      <c r="E227" s="55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IFERROR(__xludf.DUMMYFUNCTION("IMPORTRANGE(""https://docs.google.com/spreadsheets/d/1Yj_ptqi66GCucihVvJfMjLAmec39IyEx_6qawtMGysU/edit?usp=sharing"",""สบก!BQ57"")"),0)</f>
        <v>0</v>
      </c>
      <c r="M228" s="49"/>
      <c r="N228" s="49">
        <f ca="1">IFERROR(__xludf.DUMMYFUNCTION("IMPORTRANGE(""https://docs.google.com/spreadsheets/d/1Yj_ptqi66GCucihVvJfMjLAmec39IyEx_6qawtMGysU/edit?usp=sharing"",""สบก!BU57"")"),0)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IFERROR(__xludf.DUMMYFUNCTION("IMPORTRANGE(""https://docs.google.com/spreadsheets/d/1XL5vhW3sbDhbH9Cz0tuDiY8C3ctxq1tqvaCgkFb8cCA/edit?usp=sharing"",""อุบลราชธานี!I149"")"),15)</f>
        <v>15</v>
      </c>
      <c r="J229" s="267">
        <f ca="1">IFERROR(__xludf.DUMMYFUNCTION("IMPORTRANGE(""https://docs.google.com/spreadsheets/d/1XL5vhW3sbDhbH9Cz0tuDiY8C3ctxq1tqvaCgkFb8cCA/edit?usp=sharing"",""อุบลราชธานี!J149"")"),15)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IFERROR(__xludf.DUMMYFUNCTION("IMPORTRANGE(""https://docs.google.com/spreadsheets/d/1XL5vhW3sbDhbH9Cz0tuDiY8C3ctxq1tqvaCgkFb8cCA/edit?usp=sharing"",""อุบลราชธานี!J151"")"),0)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IFERROR(__xludf.DUMMYFUNCTION("IMPORTRANGE(""https://docs.google.com/spreadsheets/d/1XL5vhW3sbDhbH9Cz0tuDiY8C3ctxq1tqvaCgkFb8cCA/edit?usp=sharing"",""อุบลราชธานี!J152"")"),1)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IFERROR(__xludf.DUMMYFUNCTION("IMPORTRANGE(""https://docs.google.com/spreadsheets/d/1XL5vhW3sbDhbH9Cz0tuDiY8C3ctxq1tqvaCgkFb8cCA/edit?usp=sharing"",""อุบลราชธานี!J153"")"),1)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IFERROR(__xludf.DUMMYFUNCTION("IMPORTRANGE(""https://docs.google.com/spreadsheets/d/1XL5vhW3sbDhbH9Cz0tuDiY8C3ctxq1tqvaCgkFb8cCA/edit?usp=sharing"",""อุบลราชธานี!J154"")"),1)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IFERROR(__xludf.DUMMYFUNCTION("IMPORTRANGE(""https://docs.google.com/spreadsheets/d/1XL5vhW3sbDhbH9Cz0tuDiY8C3ctxq1tqvaCgkFb8cCA/edit?usp=sharing"",""อุบลราชธานี!I155"")"),15)</f>
        <v>15</v>
      </c>
      <c r="J235" s="189">
        <f ca="1">IFERROR(__xludf.DUMMYFUNCTION("IMPORTRANGE(""https://docs.google.com/spreadsheets/d/1XL5vhW3sbDhbH9Cz0tuDiY8C3ctxq1tqvaCgkFb8cCA/edit?usp=sharing"",""อุบลราชธานี!J155"")"),15)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IFERROR(__xludf.DUMMYFUNCTION("IMPORTRANGE(""https://docs.google.com/spreadsheets/d/1XL5vhW3sbDhbH9Cz0tuDiY8C3ctxq1tqvaCgkFb8cCA/edit?usp=sharing"",""อุบลราชธานี!J156"")"),0)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IFERROR(__xludf.DUMMYFUNCTION("IMPORTRANGE(""https://docs.google.com/spreadsheets/d/1XL5vhW3sbDhbH9Cz0tuDiY8C3ctxq1tqvaCgkFb8cCA/edit?usp=sharing"",""อุบลราชธานี!J157"")"),0)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IFERROR(__xludf.DUMMYFUNCTION("IMPORTRANGE(""https://docs.google.com/spreadsheets/d/1XL5vhW3sbDhbH9Cz0tuDiY8C3ctxq1tqvaCgkFb8cCA/edit?usp=sharing"",""อุบลราชธานี!I158"")"),0)</f>
        <v>0</v>
      </c>
      <c r="J238" s="267">
        <f ca="1">IFERROR(__xludf.DUMMYFUNCTION("IMPORTRANGE(""https://docs.google.com/spreadsheets/d/1XL5vhW3sbDhbH9Cz0tuDiY8C3ctxq1tqvaCgkFb8cCA/edit?usp=sharing"",""อุบลราชธานี!J158"")"),0)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IFERROR(__xludf.DUMMYFUNCTION("IMPORTRANGE(""https://docs.google.com/spreadsheets/d/1XL5vhW3sbDhbH9Cz0tuDiY8C3ctxq1tqvaCgkFb8cCA/edit?usp=sharing"",""อุบลราชธานี!J159"")"),"")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IFERROR(__xludf.DUMMYFUNCTION("IMPORTRANGE(""https://docs.google.com/spreadsheets/d/1XL5vhW3sbDhbH9Cz0tuDiY8C3ctxq1tqvaCgkFb8cCA/edit?usp=sharing"",""อุบลราชธานี!J161"")"),0)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IFERROR(__xludf.DUMMYFUNCTION("IMPORTRANGE(""https://docs.google.com/spreadsheets/d/1XL5vhW3sbDhbH9Cz0tuDiY8C3ctxq1tqvaCgkFb8cCA/edit?usp=sharing"",""อุบลราชธานี!J162"")"),0)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IFERROR(__xludf.DUMMYFUNCTION("IMPORTRANGE(""https://docs.google.com/spreadsheets/d/1XL5vhW3sbDhbH9Cz0tuDiY8C3ctxq1tqvaCgkFb8cCA/edit?usp=sharing"",""อุบลราชธานี!J163"")"),0)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IFERROR(__xludf.DUMMYFUNCTION("IMPORTRANGE(""https://docs.google.com/spreadsheets/d/1XL5vhW3sbDhbH9Cz0tuDiY8C3ctxq1tqvaCgkFb8cCA/edit?usp=sharing"",""อุบลราชธานี!I164"")"),0)</f>
        <v>0</v>
      </c>
      <c r="J244" s="188">
        <f ca="1">IFERROR(__xludf.DUMMYFUNCTION("IMPORTRANGE(""https://docs.google.com/spreadsheets/d/1XL5vhW3sbDhbH9Cz0tuDiY8C3ctxq1tqvaCgkFb8cCA/edit?usp=sharing"",""อุบลราชธานี!J164"")"),0)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IFERROR(__xludf.DUMMYFUNCTION("IMPORTRANGE(""https://docs.google.com/spreadsheets/d/1XL5vhW3sbDhbH9Cz0tuDiY8C3ctxq1tqvaCgkFb8cCA/edit?usp=sharing"",""อุบลราชธานี!J165"")"),0)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IFERROR(__xludf.DUMMYFUNCTION("IMPORTRANGE(""https://docs.google.com/spreadsheets/d/1XL5vhW3sbDhbH9Cz0tuDiY8C3ctxq1tqvaCgkFb8cCA/edit?usp=sharing"",""อุบลราชธานี!J166"")"),0)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IFERROR(__xludf.DUMMYFUNCTION("IMPORTRANGE(""https://docs.google.com/spreadsheets/d/1XL5vhW3sbDhbH9Cz0tuDiY8C3ctxq1tqvaCgkFb8cCA/edit?usp=sharing"",""อุบลราชธานี!I169"")"),25)</f>
        <v>25</v>
      </c>
      <c r="J249" s="316">
        <f ca="1">IFERROR(__xludf.DUMMYFUNCTION("IMPORTRANGE(""https://docs.google.com/spreadsheets/d/1XL5vhW3sbDhbH9Cz0tuDiY8C3ctxq1tqvaCgkFb8cCA/edit?usp=sharing"",""อุบลราชธานี!J169"")"),25)</f>
        <v>25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54" t="s">
        <v>17</v>
      </c>
      <c r="E250" s="555"/>
      <c r="F250" s="555"/>
      <c r="G250" s="555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47500</v>
      </c>
      <c r="N250" s="152">
        <f t="shared" ca="1" si="77"/>
        <v>38017.75</v>
      </c>
      <c r="O250" s="151">
        <f t="shared" ref="O250:O252" ca="1" si="78">IF(L250&gt;0,N250*100/L250,0)</f>
        <v>42.716573033707867</v>
      </c>
      <c r="P250" s="151">
        <f t="shared" ref="P250:P252" ca="1" si="79">IF(M250&gt;0,N250*100/M250,0)</f>
        <v>80.037368421052633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89000</v>
      </c>
      <c r="M252" s="157">
        <f t="shared" ca="1" si="81"/>
        <v>47500</v>
      </c>
      <c r="N252" s="157">
        <f t="shared" ca="1" si="81"/>
        <v>38017.75</v>
      </c>
      <c r="O252" s="156">
        <f t="shared" ca="1" si="78"/>
        <v>42.716573033707867</v>
      </c>
      <c r="P252" s="156">
        <f t="shared" ca="1" si="79"/>
        <v>80.037368421052633</v>
      </c>
    </row>
    <row r="253" spans="1:16" ht="21.75" customHeight="1" x14ac:dyDescent="0.45">
      <c r="A253" s="158"/>
      <c r="B253" s="159"/>
      <c r="C253" s="159" t="s">
        <v>16</v>
      </c>
      <c r="D253" s="552" t="s">
        <v>20</v>
      </c>
      <c r="E253" s="553"/>
      <c r="F253" s="55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89000</v>
      </c>
      <c r="M254" s="168">
        <f ca="1">IFERROR(__xludf.DUMMYFUNCTION("IMPORTRANGE(""https://docs.google.com/spreadsheets/d/1Yj_ptqi66GCucihVvJfMjLAmec39IyEx_6qawtMGysU/edit?usp=sharing"",""สบก!CB57"")"),47500)</f>
        <v>47500</v>
      </c>
      <c r="N254" s="169">
        <f ca="1">IFERROR(__xludf.DUMMYFUNCTION("IMPORTRANGE(""https://docs.google.com/spreadsheets/d/1Yj_ptqi66GCucihVvJfMjLAmec39IyEx_6qawtMGysU/edit?usp=sharing"",""สบก!CC57"")"),38017.75)</f>
        <v>38017.75</v>
      </c>
      <c r="O254" s="169">
        <f ca="1">IF(L254&gt;0,N254*100/L254,0)</f>
        <v>42.716573033707867</v>
      </c>
      <c r="P254" s="169">
        <f ca="1">IF(M254&gt;0,N254*100/M254,0)</f>
        <v>80.037368421052633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IFERROR(__xludf.DUMMYFUNCTION("IMPORTRANGE(""https://docs.google.com/spreadsheets/d/1Yj_ptqi66GCucihVvJfMjLAmec39IyEx_6qawtMGysU/edit?usp=sharing"",""สบก!BX57"")"),0)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IFERROR(__xludf.DUMMYFUNCTION("IMPORTRANGE(""https://docs.google.com/spreadsheets/d/1Yj_ptqi66GCucihVvJfMjLAmec39IyEx_6qawtMGysU/edit?usp=sharing"",""สบก!BY57"")"),89000)</f>
        <v>89000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52" t="s">
        <v>23</v>
      </c>
      <c r="E257" s="55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IFERROR(__xludf.DUMMYFUNCTION("IMPORTRANGE(""https://docs.google.com/spreadsheets/d/1Yj_ptqi66GCucihVvJfMjLAmec39IyEx_6qawtMGysU/edit?usp=sharing"",""สบก!BZ57"")"),0)</f>
        <v>0</v>
      </c>
      <c r="M258" s="49"/>
      <c r="N258" s="49">
        <f ca="1">IFERROR(__xludf.DUMMYFUNCTION("IMPORTRANGE(""https://docs.google.com/spreadsheets/d/1Yj_ptqi66GCucihVvJfMjLAmec39IyEx_6qawtMGysU/edit?usp=sharing"",""สบก!CD57"")"),0)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IFERROR(__xludf.DUMMYFUNCTION("IMPORTRANGE(""https://docs.google.com/spreadsheets/d/1XL5vhW3sbDhbH9Cz0tuDiY8C3ctxq1tqvaCgkFb8cCA/edit?usp=sharing"",""อุบลราชธานี!J175"")"),0)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IFERROR(__xludf.DUMMYFUNCTION("IMPORTRANGE(""https://docs.google.com/spreadsheets/d/1XL5vhW3sbDhbH9Cz0tuDiY8C3ctxq1tqvaCgkFb8cCA/edit?usp=sharing"",""อุบลราชธานี!J176"")"),1)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IFERROR(__xludf.DUMMYFUNCTION("IMPORTRANGE(""https://docs.google.com/spreadsheets/d/1XL5vhW3sbDhbH9Cz0tuDiY8C3ctxq1tqvaCgkFb8cCA/edit?usp=sharing"",""อุบลราชธานี!J177"")"),1)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IFERROR(__xludf.DUMMYFUNCTION("IMPORTRANGE(""https://docs.google.com/spreadsheets/d/1XL5vhW3sbDhbH9Cz0tuDiY8C3ctxq1tqvaCgkFb8cCA/edit?usp=sharing"",""อุบลราชธานี!J178"")"),1)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IFERROR(__xludf.DUMMYFUNCTION("IMPORTRANGE(""https://docs.google.com/spreadsheets/d/1XL5vhW3sbDhbH9Cz0tuDiY8C3ctxq1tqvaCgkFb8cCA/edit?usp=sharing"",""อุบลราชธานี!I179"")"),1)</f>
        <v>1</v>
      </c>
      <c r="J264" s="189">
        <f ca="1">IFERROR(__xludf.DUMMYFUNCTION("IMPORTRANGE(""https://docs.google.com/spreadsheets/d/1XL5vhW3sbDhbH9Cz0tuDiY8C3ctxq1tqvaCgkFb8cCA/edit?usp=sharing"",""อุบลราชธานี!J179"")"),1)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IFERROR(__xludf.DUMMYFUNCTION("IMPORTRANGE(""https://docs.google.com/spreadsheets/d/1XL5vhW3sbDhbH9Cz0tuDiY8C3ctxq1tqvaCgkFb8cCA/edit?usp=sharing"",""อุบลราชธานี!I180"")"),25)</f>
        <v>25</v>
      </c>
      <c r="J265" s="189">
        <f ca="1">IFERROR(__xludf.DUMMYFUNCTION("IMPORTRANGE(""https://docs.google.com/spreadsheets/d/1XL5vhW3sbDhbH9Cz0tuDiY8C3ctxq1tqvaCgkFb8cCA/edit?usp=sharing"",""อุบลราชธานี!J180"")"),25)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IFERROR(__xludf.DUMMYFUNCTION("IMPORTRANGE(""https://docs.google.com/spreadsheets/d/1XL5vhW3sbDhbH9Cz0tuDiY8C3ctxq1tqvaCgkFb8cCA/edit?usp=sharing"",""อุบลราชธานี!I181"")"),25)</f>
        <v>25</v>
      </c>
      <c r="J266" s="189">
        <f ca="1">IFERROR(__xludf.DUMMYFUNCTION("IMPORTRANGE(""https://docs.google.com/spreadsheets/d/1XL5vhW3sbDhbH9Cz0tuDiY8C3ctxq1tqvaCgkFb8cCA/edit?usp=sharing"",""อุบลราชธานี!J181"")"),0)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IFERROR(__xludf.DUMMYFUNCTION("IMPORTRANGE(""https://docs.google.com/spreadsheets/d/1XL5vhW3sbDhbH9Cz0tuDiY8C3ctxq1tqvaCgkFb8cCA/edit?usp=sharing"",""อุบลราชธานี!I182"")"),1)</f>
        <v>1</v>
      </c>
      <c r="J267" s="189">
        <f ca="1">IFERROR(__xludf.DUMMYFUNCTION("IMPORTRANGE(""https://docs.google.com/spreadsheets/d/1XL5vhW3sbDhbH9Cz0tuDiY8C3ctxq1tqvaCgkFb8cCA/edit?usp=sharing"",""อุบลราชธานี!J182"")"),1)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IFERROR(__xludf.DUMMYFUNCTION("IMPORTRANGE(""https://docs.google.com/spreadsheets/d/1XL5vhW3sbDhbH9Cz0tuDiY8C3ctxq1tqvaCgkFb8cCA/edit?usp=sharing"",""อุบลราชธานี!J183"")"),0)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IFERROR(__xludf.DUMMYFUNCTION("IMPORTRANGE(""https://docs.google.com/spreadsheets/d/1XL5vhW3sbDhbH9Cz0tuDiY8C3ctxq1tqvaCgkFb8cCA/edit?usp=sharing"",""อุบลราชธานี!J184"")"),0)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IFERROR(__xludf.DUMMYFUNCTION("IMPORTRANGE(""https://docs.google.com/spreadsheets/d/1XL5vhW3sbDhbH9Cz0tuDiY8C3ctxq1tqvaCgkFb8cCA/edit?usp=sharing"",""อุบลราชธานี!I185"")"),20)</f>
        <v>20</v>
      </c>
      <c r="J270" s="316">
        <f ca="1">IFERROR(__xludf.DUMMYFUNCTION("IMPORTRANGE(""https://docs.google.com/spreadsheets/d/1XL5vhW3sbDhbH9Cz0tuDiY8C3ctxq1tqvaCgkFb8cCA/edit?usp=sharing"",""อุบลราชธานี!J185"")"),20)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54" t="s">
        <v>17</v>
      </c>
      <c r="E271" s="555"/>
      <c r="F271" s="555"/>
      <c r="G271" s="555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161600</v>
      </c>
      <c r="N271" s="152">
        <f t="shared" ca="1" si="83"/>
        <v>80055.100000000006</v>
      </c>
      <c r="O271" s="151">
        <f t="shared" ref="O271:O273" ca="1" si="84">IF(L271&gt;0,N271*100/L271,0)</f>
        <v>43.602995642701529</v>
      </c>
      <c r="P271" s="151">
        <f t="shared" ref="P271:P273" ca="1" si="85">IF(M271&gt;0,N271*100/M271,0)</f>
        <v>49.539047029702978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183600</v>
      </c>
      <c r="M273" s="157">
        <f t="shared" ca="1" si="87"/>
        <v>161600</v>
      </c>
      <c r="N273" s="157">
        <f t="shared" ca="1" si="87"/>
        <v>80055.100000000006</v>
      </c>
      <c r="O273" s="156">
        <f t="shared" ca="1" si="84"/>
        <v>43.602995642701529</v>
      </c>
      <c r="P273" s="156">
        <f t="shared" ca="1" si="85"/>
        <v>49.539047029702978</v>
      </c>
    </row>
    <row r="274" spans="1:16" ht="21.75" customHeight="1" x14ac:dyDescent="0.45">
      <c r="A274" s="158"/>
      <c r="B274" s="159"/>
      <c r="C274" s="159" t="s">
        <v>16</v>
      </c>
      <c r="D274" s="552" t="s">
        <v>20</v>
      </c>
      <c r="E274" s="553"/>
      <c r="F274" s="55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183600</v>
      </c>
      <c r="M275" s="168">
        <f ca="1">IFERROR(__xludf.DUMMYFUNCTION("IMPORTRANGE(""https://docs.google.com/spreadsheets/d/1Yj_ptqi66GCucihVvJfMjLAmec39IyEx_6qawtMGysU/edit?usp=sharing"",""สบก!CK57"")"),161600)</f>
        <v>161600</v>
      </c>
      <c r="N275" s="169">
        <f ca="1">IFERROR(__xludf.DUMMYFUNCTION("IMPORTRANGE(""https://docs.google.com/spreadsheets/d/1Yj_ptqi66GCucihVvJfMjLAmec39IyEx_6qawtMGysU/edit?usp=sharing"",""สบก!CL57"")"),80055.1)</f>
        <v>80055.100000000006</v>
      </c>
      <c r="O275" s="169">
        <f ca="1">IF(L275&gt;0,N275*100/L275,0)</f>
        <v>43.602995642701529</v>
      </c>
      <c r="P275" s="169">
        <f ca="1">IF(M275&gt;0,N275*100/M275,0)</f>
        <v>49.539047029702978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IFERROR(__xludf.DUMMYFUNCTION("IMPORTRANGE(""https://docs.google.com/spreadsheets/d/1Yj_ptqi66GCucihVvJfMjLAmec39IyEx_6qawtMGysU/edit?usp=sharing"",""สบก!CG57"")"),0)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IFERROR(__xludf.DUMMYFUNCTION("IMPORTRANGE(""https://docs.google.com/spreadsheets/d/1Yj_ptqi66GCucihVvJfMjLAmec39IyEx_6qawtMGysU/edit?usp=sharing"",""สบก!CH57"")"),183600)</f>
        <v>183600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52" t="s">
        <v>23</v>
      </c>
      <c r="E278" s="55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IFERROR(__xludf.DUMMYFUNCTION("IMPORTRANGE(""https://docs.google.com/spreadsheets/d/1Yj_ptqi66GCucihVvJfMjLAmec39IyEx_6qawtMGysU/edit?usp=sharing"",""สบก!CI57"")"),0)</f>
        <v>0</v>
      </c>
      <c r="M279" s="49"/>
      <c r="N279" s="49">
        <f ca="1">IFERROR(__xludf.DUMMYFUNCTION("IMPORTRANGE(""https://docs.google.com/spreadsheets/d/1Yj_ptqi66GCucihVvJfMjLAmec39IyEx_6qawtMGysU/edit?usp=sharing"",""สบก!CM57"")"),0)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IFERROR(__xludf.DUMMYFUNCTION("IMPORTRANGE(""https://docs.google.com/spreadsheets/d/1XL5vhW3sbDhbH9Cz0tuDiY8C3ctxq1tqvaCgkFb8cCA/edit?usp=sharing"",""อุบลราชธานี!J191"")"),0)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IFERROR(__xludf.DUMMYFUNCTION("IMPORTRANGE(""https://docs.google.com/spreadsheets/d/1XL5vhW3sbDhbH9Cz0tuDiY8C3ctxq1tqvaCgkFb8cCA/edit?usp=sharing"",""อุบลราชธานี!J192"")"),1)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IFERROR(__xludf.DUMMYFUNCTION("IMPORTRANGE(""https://docs.google.com/spreadsheets/d/1XL5vhW3sbDhbH9Cz0tuDiY8C3ctxq1tqvaCgkFb8cCA/edit?usp=sharing"",""อุบลราชธานี!J193"")"),1)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IFERROR(__xludf.DUMMYFUNCTION("IMPORTRANGE(""https://docs.google.com/spreadsheets/d/1XL5vhW3sbDhbH9Cz0tuDiY8C3ctxq1tqvaCgkFb8cCA/edit?usp=sharing"",""อุบลราชธานี!J194"")"),1)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IFERROR(__xludf.DUMMYFUNCTION("IMPORTRANGE(""https://docs.google.com/spreadsheets/d/1XL5vhW3sbDhbH9Cz0tuDiY8C3ctxq1tqvaCgkFb8cCA/edit?usp=sharing"",""อุบลราชธานี!I195"")"),20)</f>
        <v>20</v>
      </c>
      <c r="J285" s="189">
        <f ca="1">IFERROR(__xludf.DUMMYFUNCTION("IMPORTRANGE(""https://docs.google.com/spreadsheets/d/1XL5vhW3sbDhbH9Cz0tuDiY8C3ctxq1tqvaCgkFb8cCA/edit?usp=sharing"",""อุบลราชธานี!J195"")"),20)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IFERROR(__xludf.DUMMYFUNCTION("IMPORTRANGE(""https://docs.google.com/spreadsheets/d/1XL5vhW3sbDhbH9Cz0tuDiY8C3ctxq1tqvaCgkFb8cCA/edit?usp=sharing"",""อุบลราชธานี!J196"")"),0)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IFERROR(__xludf.DUMMYFUNCTION("IMPORTRANGE(""https://docs.google.com/spreadsheets/d/1XL5vhW3sbDhbH9Cz0tuDiY8C3ctxq1tqvaCgkFb8cCA/edit?usp=sharing"",""อุบลราชธานี!J197"")"),0)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IFERROR(__xludf.DUMMYFUNCTION("IMPORTRANGE(""https://docs.google.com/spreadsheets/d/1XL5vhW3sbDhbH9Cz0tuDiY8C3ctxq1tqvaCgkFb8cCA/edit?usp=sharing"",""อุบลราชธานี!I199"")"),0)</f>
        <v>0</v>
      </c>
      <c r="J289" s="316">
        <f ca="1">IFERROR(__xludf.DUMMYFUNCTION("IMPORTRANGE(""https://docs.google.com/spreadsheets/d/1XL5vhW3sbDhbH9Cz0tuDiY8C3ctxq1tqvaCgkFb8cCA/edit?usp=sharing"",""อุบลราชธานี!J199"")"),0)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54" t="s">
        <v>17</v>
      </c>
      <c r="E290" s="555"/>
      <c r="F290" s="555"/>
      <c r="G290" s="55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52" t="s">
        <v>20</v>
      </c>
      <c r="E293" s="553"/>
      <c r="F293" s="55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IFERROR(__xludf.DUMMYFUNCTION("IMPORTRANGE(""https://docs.google.com/spreadsheets/d/1Yj_ptqi66GCucihVvJfMjLAmec39IyEx_6qawtMGysU/edit?usp=sharing"",""สบก!CT57"")"),0)</f>
        <v>0</v>
      </c>
      <c r="N294" s="169">
        <f ca="1">IFERROR(__xludf.DUMMYFUNCTION("IMPORTRANGE(""https://docs.google.com/spreadsheets/d/1Yj_ptqi66GCucihVvJfMjLAmec39IyEx_6qawtMGysU/edit?usp=sharing"",""สบก!CU57"")"),0)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IFERROR(__xludf.DUMMYFUNCTION("IMPORTRANGE(""https://docs.google.com/spreadsheets/d/1Yj_ptqi66GCucihVvJfMjLAmec39IyEx_6qawtMGysU/edit?usp=sharing"",""สบก!CP57"")"),0)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IFERROR(__xludf.DUMMYFUNCTION("IMPORTRANGE(""https://docs.google.com/spreadsheets/d/1Yj_ptqi66GCucihVvJfMjLAmec39IyEx_6qawtMGysU/edit?usp=sharing"",""สบก!CQ57"")"),0)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52" t="s">
        <v>23</v>
      </c>
      <c r="E297" s="55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IFERROR(__xludf.DUMMYFUNCTION("IMPORTRANGE(""https://docs.google.com/spreadsheets/d/1Yj_ptqi66GCucihVvJfMjLAmec39IyEx_6qawtMGysU/edit?usp=sharing"",""สบก!CR57"")"),0)</f>
        <v>0</v>
      </c>
      <c r="M298" s="49"/>
      <c r="N298" s="49">
        <f ca="1">IFERROR(__xludf.DUMMYFUNCTION("IMPORTRANGE(""https://docs.google.com/spreadsheets/d/1Yj_ptqi66GCucihVvJfMjLAmec39IyEx_6qawtMGysU/edit?usp=sharing"",""สบก!CV57"")"),0)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IFERROR(__xludf.DUMMYFUNCTION("IMPORTRANGE(""https://docs.google.com/spreadsheets/d/1XL5vhW3sbDhbH9Cz0tuDiY8C3ctxq1tqvaCgkFb8cCA/edit?usp=sharing"",""อุบลราชธานี!J205"")"),0)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IFERROR(__xludf.DUMMYFUNCTION("IMPORTRANGE(""https://docs.google.com/spreadsheets/d/1XL5vhW3sbDhbH9Cz0tuDiY8C3ctxq1tqvaCgkFb8cCA/edit?usp=sharing"",""อุบลราชธานี!J206"")"),0)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IFERROR(__xludf.DUMMYFUNCTION("IMPORTRANGE(""https://docs.google.com/spreadsheets/d/1XL5vhW3sbDhbH9Cz0tuDiY8C3ctxq1tqvaCgkFb8cCA/edit?usp=sharing"",""อุบลราชธานี!J207"")"),0)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IFERROR(__xludf.DUMMYFUNCTION("IMPORTRANGE(""https://docs.google.com/spreadsheets/d/1XL5vhW3sbDhbH9Cz0tuDiY8C3ctxq1tqvaCgkFb8cCA/edit?usp=sharing"",""อุบลราชธานี!J208"")"),0)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IFERROR(__xludf.DUMMYFUNCTION("IMPORTRANGE(""https://docs.google.com/spreadsheets/d/1XL5vhW3sbDhbH9Cz0tuDiY8C3ctxq1tqvaCgkFb8cCA/edit?usp=sharing"",""อุบลราชธานี!I209"")"),0)</f>
        <v>0</v>
      </c>
      <c r="J304" s="204">
        <f ca="1">IFERROR(__xludf.DUMMYFUNCTION("IMPORTRANGE(""https://docs.google.com/spreadsheets/d/1XL5vhW3sbDhbH9Cz0tuDiY8C3ctxq1tqvaCgkFb8cCA/edit?usp=sharing"",""อุบลราชธานี!J209"")"),0)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IFERROR(__xludf.DUMMYFUNCTION("IMPORTRANGE(""https://docs.google.com/spreadsheets/d/1XL5vhW3sbDhbH9Cz0tuDiY8C3ctxq1tqvaCgkFb8cCA/edit?usp=sharing"",""อุบลราชธานี!I211"")"),0)</f>
        <v>0</v>
      </c>
      <c r="J306" s="204">
        <f ca="1">IFERROR(__xludf.DUMMYFUNCTION("IMPORTRANGE(""https://docs.google.com/spreadsheets/d/1XL5vhW3sbDhbH9Cz0tuDiY8C3ctxq1tqvaCgkFb8cCA/edit?usp=sharing"",""อุบลราชธานี!J211"")"),0)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IFERROR(__xludf.DUMMYFUNCTION("IMPORTRANGE(""https://docs.google.com/spreadsheets/d/1XL5vhW3sbDhbH9Cz0tuDiY8C3ctxq1tqvaCgkFb8cCA/edit?usp=sharing"",""อุบลราชธานี!J212"")"),0)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IFERROR(__xludf.DUMMYFUNCTION("IMPORTRANGE(""https://docs.google.com/spreadsheets/d/1XL5vhW3sbDhbH9Cz0tuDiY8C3ctxq1tqvaCgkFb8cCA/edit?usp=sharing"",""อุบลราชธานี!J213"")"),0)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IFERROR(__xludf.DUMMYFUNCTION("IMPORTRANGE(""https://docs.google.com/spreadsheets/d/1XL5vhW3sbDhbH9Cz0tuDiY8C3ctxq1tqvaCgkFb8cCA/edit?usp=sharing"",""อุบลราชธานี!I214"")"),0)</f>
        <v>0</v>
      </c>
      <c r="J309" s="333">
        <f ca="1">IFERROR(__xludf.DUMMYFUNCTION("IMPORTRANGE(""https://docs.google.com/spreadsheets/d/1XL5vhW3sbDhbH9Cz0tuDiY8C3ctxq1tqvaCgkFb8cCA/edit?usp=sharing"",""อุบลราชธานี!J214"")"),0)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54" t="s">
        <v>17</v>
      </c>
      <c r="E310" s="555"/>
      <c r="F310" s="555"/>
      <c r="G310" s="55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52" t="s">
        <v>20</v>
      </c>
      <c r="E313" s="553"/>
      <c r="F313" s="55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IFERROR(__xludf.DUMMYFUNCTION("IMPORTRANGE(""https://docs.google.com/spreadsheets/d/1Yj_ptqi66GCucihVvJfMjLAmec39IyEx_6qawtMGysU/edit?usp=sharing"",""สบก!DC57"")"),0)</f>
        <v>0</v>
      </c>
      <c r="N314" s="169">
        <f ca="1">IFERROR(__xludf.DUMMYFUNCTION("IMPORTRANGE(""https://docs.google.com/spreadsheets/d/1Yj_ptqi66GCucihVvJfMjLAmec39IyEx_6qawtMGysU/edit?usp=sharing"",""สบก!DD57"")"),0)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IFERROR(__xludf.DUMMYFUNCTION("IMPORTRANGE(""https://docs.google.com/spreadsheets/d/1Yj_ptqi66GCucihVvJfMjLAmec39IyEx_6qawtMGysU/edit?usp=sharing"",""สบก!CY57"")"),0)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IFERROR(__xludf.DUMMYFUNCTION("IMPORTRANGE(""https://docs.google.com/spreadsheets/d/1Yj_ptqi66GCucihVvJfMjLAmec39IyEx_6qawtMGysU/edit?usp=sharing"",""สบก!CZ57"")"),0)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52" t="s">
        <v>23</v>
      </c>
      <c r="E317" s="55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IFERROR(__xludf.DUMMYFUNCTION("IMPORTRANGE(""https://docs.google.com/spreadsheets/d/1Yj_ptqi66GCucihVvJfMjLAmec39IyEx_6qawtMGysU/edit?usp=sharing"",""สบก!DA57"")"),0)</f>
        <v>0</v>
      </c>
      <c r="M318" s="49"/>
      <c r="N318" s="49">
        <f ca="1">IFERROR(__xludf.DUMMYFUNCTION("IMPORTRANGE(""https://docs.google.com/spreadsheets/d/1Yj_ptqi66GCucihVvJfMjLAmec39IyEx_6qawtMGysU/edit?usp=sharing"",""สบก!DE57"")"),0)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IFERROR(__xludf.DUMMYFUNCTION("IMPORTRANGE(""https://docs.google.com/spreadsheets/d/1XL5vhW3sbDhbH9Cz0tuDiY8C3ctxq1tqvaCgkFb8cCA/edit?usp=sharing"",""อุบลราชธานี!J220"")"),0)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IFERROR(__xludf.DUMMYFUNCTION("IMPORTRANGE(""https://docs.google.com/spreadsheets/d/1XL5vhW3sbDhbH9Cz0tuDiY8C3ctxq1tqvaCgkFb8cCA/edit?usp=sharing"",""อุบลราชธานี!J221"")"),0)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IFERROR(__xludf.DUMMYFUNCTION("IMPORTRANGE(""https://docs.google.com/spreadsheets/d/1XL5vhW3sbDhbH9Cz0tuDiY8C3ctxq1tqvaCgkFb8cCA/edit?usp=sharing"",""อุบลราชธานี!J222"")"),0)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IFERROR(__xludf.DUMMYFUNCTION("IMPORTRANGE(""https://docs.google.com/spreadsheets/d/1XL5vhW3sbDhbH9Cz0tuDiY8C3ctxq1tqvaCgkFb8cCA/edit?usp=sharing"",""อุบลราชธานี!J223"")"),0)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IFERROR(__xludf.DUMMYFUNCTION("IMPORTRANGE(""https://docs.google.com/spreadsheets/d/1XL5vhW3sbDhbH9Cz0tuDiY8C3ctxq1tqvaCgkFb8cCA/edit?usp=sharing"",""อุบลราชธานี!I224"")"),0)</f>
        <v>0</v>
      </c>
      <c r="J324" s="204">
        <f ca="1">IFERROR(__xludf.DUMMYFUNCTION("IMPORTRANGE(""https://docs.google.com/spreadsheets/d/1XL5vhW3sbDhbH9Cz0tuDiY8C3ctxq1tqvaCgkFb8cCA/edit?usp=sharing"",""อุบลราชธานี!J224"")"),0)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IFERROR(__xludf.DUMMYFUNCTION("IMPORTRANGE(""https://docs.google.com/spreadsheets/d/1XL5vhW3sbDhbH9Cz0tuDiY8C3ctxq1tqvaCgkFb8cCA/edit?usp=sharing"",""อุบลราชธานี!J225"")"),0)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IFERROR(__xludf.DUMMYFUNCTION("IMPORTRANGE(""https://docs.google.com/spreadsheets/d/1XL5vhW3sbDhbH9Cz0tuDiY8C3ctxq1tqvaCgkFb8cCA/edit?usp=sharing"",""อุบลราชธานี!J226"")"),0)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IFERROR(__xludf.DUMMYFUNCTION("IMPORTRANGE(""https://docs.google.com/spreadsheets/d/1XL5vhW3sbDhbH9Cz0tuDiY8C3ctxq1tqvaCgkFb8cCA/edit?usp=sharing"",""อุบลราชธานี!I228"")"),820)</f>
        <v>820</v>
      </c>
      <c r="J328" s="339">
        <f ca="1">IFERROR(__xludf.DUMMYFUNCTION("IMPORTRANGE(""https://docs.google.com/spreadsheets/d/1XL5vhW3sbDhbH9Cz0tuDiY8C3ctxq1tqvaCgkFb8cCA/edit?usp=sharing"",""อุบลราชธานี!J228"")"),247)</f>
        <v>247</v>
      </c>
      <c r="K328" s="317">
        <f ca="1">IF(I328&gt;0,J328*100/I328,0)</f>
        <v>30.121951219512194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54" t="s">
        <v>17</v>
      </c>
      <c r="E329" s="555"/>
      <c r="F329" s="555"/>
      <c r="G329" s="555"/>
      <c r="H329" s="149" t="s">
        <v>12</v>
      </c>
      <c r="I329" s="162"/>
      <c r="J329" s="162"/>
      <c r="K329" s="163"/>
      <c r="L329" s="152">
        <f t="shared" ref="L329:N329" ca="1" si="98">L330+L331</f>
        <v>1589650</v>
      </c>
      <c r="M329" s="152">
        <f t="shared" ca="1" si="98"/>
        <v>1154290</v>
      </c>
      <c r="N329" s="152">
        <f t="shared" ca="1" si="98"/>
        <v>900019.85</v>
      </c>
      <c r="O329" s="151">
        <f t="shared" ref="O329:O331" ca="1" si="99">IF(L329&gt;0,N329*100/L329,0)</f>
        <v>56.617484980970652</v>
      </c>
      <c r="P329" s="151">
        <f t="shared" ref="P329:P331" ca="1" si="100">IF(M329&gt;0,N329*100/M329,0)</f>
        <v>77.971727208933629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1589650</v>
      </c>
      <c r="M331" s="157">
        <f t="shared" ca="1" si="102"/>
        <v>1154290</v>
      </c>
      <c r="N331" s="157">
        <f t="shared" ca="1" si="102"/>
        <v>900019.85</v>
      </c>
      <c r="O331" s="156">
        <f t="shared" ca="1" si="99"/>
        <v>56.617484980970652</v>
      </c>
      <c r="P331" s="156">
        <f t="shared" ca="1" si="100"/>
        <v>77.971727208933629</v>
      </c>
    </row>
    <row r="332" spans="1:16" ht="21.75" customHeight="1" x14ac:dyDescent="0.45">
      <c r="A332" s="158"/>
      <c r="B332" s="159"/>
      <c r="C332" s="159" t="s">
        <v>16</v>
      </c>
      <c r="D332" s="552" t="s">
        <v>20</v>
      </c>
      <c r="E332" s="553"/>
      <c r="F332" s="55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1589650</v>
      </c>
      <c r="M333" s="168">
        <f ca="1">IFERROR(__xludf.DUMMYFUNCTION("IMPORTRANGE(""https://docs.google.com/spreadsheets/d/1Yj_ptqi66GCucihVvJfMjLAmec39IyEx_6qawtMGysU/edit?usp=sharing"",""สบก!DL57"")"),1154290)</f>
        <v>1154290</v>
      </c>
      <c r="N333" s="169">
        <f ca="1">IFERROR(__xludf.DUMMYFUNCTION("IMPORTRANGE(""https://docs.google.com/spreadsheets/d/1Yj_ptqi66GCucihVvJfMjLAmec39IyEx_6qawtMGysU/edit?usp=sharing"",""สบก!DM57"")"),900019.85)</f>
        <v>900019.85</v>
      </c>
      <c r="O333" s="169">
        <f ca="1">IF(L333&gt;0,N333*100/L333,0)</f>
        <v>56.617484980970652</v>
      </c>
      <c r="P333" s="169">
        <f ca="1">IF(M333&gt;0,N333*100/M333,0)</f>
        <v>77.971727208933629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IFERROR(__xludf.DUMMYFUNCTION("IMPORTRANGE(""https://docs.google.com/spreadsheets/d/1Yj_ptqi66GCucihVvJfMjLAmec39IyEx_6qawtMGysU/edit?usp=sharing"",""สบก!DH57"")"),500400)</f>
        <v>500400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IFERROR(__xludf.DUMMYFUNCTION("IMPORTRANGE(""https://docs.google.com/spreadsheets/d/1Yj_ptqi66GCucihVvJfMjLAmec39IyEx_6qawtMGysU/edit?usp=sharing"",""สบก!DI57"")"),1089250)</f>
        <v>1089250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52" t="s">
        <v>23</v>
      </c>
      <c r="E336" s="55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IFERROR(__xludf.DUMMYFUNCTION("IMPORTRANGE(""https://docs.google.com/spreadsheets/d/1Yj_ptqi66GCucihVvJfMjLAmec39IyEx_6qawtMGysU/edit?usp=sharing"",""สบก!DJ57"")"),0)</f>
        <v>0</v>
      </c>
      <c r="M337" s="49"/>
      <c r="N337" s="49">
        <f ca="1">IFERROR(__xludf.DUMMYFUNCTION("IMPORTRANGE(""https://docs.google.com/spreadsheets/d/1Yj_ptqi66GCucihVvJfMjLAmec39IyEx_6qawtMGysU/edit?usp=sharing"",""สบก!DN57"")"),0)</f>
        <v>0</v>
      </c>
      <c r="O337" s="49">
        <f ca="1">IF(L337&gt;0,N337*100/L337,0)</f>
        <v>0</v>
      </c>
      <c r="P337" s="49"/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IFERROR(__xludf.DUMMYFUNCTION("IMPORTRANGE(""https://docs.google.com/spreadsheets/d/1XL5vhW3sbDhbH9Cz0tuDiY8C3ctxq1tqvaCgkFb8cCA/edit?usp=sharing"",""อุบลราชธานี!I234"")"),0)</f>
        <v>0</v>
      </c>
      <c r="J339" s="188">
        <f ca="1">IFERROR(__xludf.DUMMYFUNCTION("IMPORTRANGE(""https://docs.google.com/spreadsheets/d/1XL5vhW3sbDhbH9Cz0tuDiY8C3ctxq1tqvaCgkFb8cCA/edit?usp=sharing"",""อุบลราชธานี!J234"")"),620)</f>
        <v>620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IFERROR(__xludf.DUMMYFUNCTION("IMPORTRANGE(""https://docs.google.com/spreadsheets/d/1XL5vhW3sbDhbH9Cz0tuDiY8C3ctxq1tqvaCgkFb8cCA/edit?usp=sharing"",""อุบลราชธานี!I235"")"),6640)</f>
        <v>6640</v>
      </c>
      <c r="J340" s="188">
        <f ca="1">IFERROR(__xludf.DUMMYFUNCTION("IMPORTRANGE(""https://docs.google.com/spreadsheets/d/1XL5vhW3sbDhbH9Cz0tuDiY8C3ctxq1tqvaCgkFb8cCA/edit?usp=sharing"",""อุบลราชธานี!J235"")"),4489.34999999999)</f>
        <v>4489.3499999999904</v>
      </c>
      <c r="K340" s="342">
        <f t="shared" ca="1" si="103"/>
        <v>67.610692771084189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IFERROR(__xludf.DUMMYFUNCTION("IMPORTRANGE(""https://docs.google.com/spreadsheets/d/1XL5vhW3sbDhbH9Cz0tuDiY8C3ctxq1tqvaCgkFb8cCA/edit?usp=sharing"",""อุบลราชธานี!I236"")"),820)</f>
        <v>820</v>
      </c>
      <c r="J341" s="188">
        <f ca="1">IFERROR(__xludf.DUMMYFUNCTION("IMPORTRANGE(""https://docs.google.com/spreadsheets/d/1XL5vhW3sbDhbH9Cz0tuDiY8C3ctxq1tqvaCgkFb8cCA/edit?usp=sharing"",""อุบลราชธานี!J236"")"),569)</f>
        <v>569</v>
      </c>
      <c r="K341" s="342">
        <f t="shared" ca="1" si="103"/>
        <v>69.390243902439025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IFERROR(__xludf.DUMMYFUNCTION("IMPORTRANGE(""https://docs.google.com/spreadsheets/d/1XL5vhW3sbDhbH9Cz0tuDiY8C3ctxq1tqvaCgkFb8cCA/edit?usp=sharing"",""อุบลราชธานี!I237"")"),0)</f>
        <v>0</v>
      </c>
      <c r="J342" s="188">
        <f ca="1">IFERROR(__xludf.DUMMYFUNCTION("IMPORTRANGE(""https://docs.google.com/spreadsheets/d/1XL5vhW3sbDhbH9Cz0tuDiY8C3ctxq1tqvaCgkFb8cCA/edit?usp=sharing"",""อุบลราชธานี!J237"")"),5536.44)</f>
        <v>5536.44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IFERROR(__xludf.DUMMYFUNCTION("IMPORTRANGE(""https://docs.google.com/spreadsheets/d/1XL5vhW3sbDhbH9Cz0tuDiY8C3ctxq1tqvaCgkFb8cCA/edit?usp=sharing"",""อุบลราชธานี!I238"")"),820)</f>
        <v>820</v>
      </c>
      <c r="J343" s="188">
        <f ca="1">IFERROR(__xludf.DUMMYFUNCTION("IMPORTRANGE(""https://docs.google.com/spreadsheets/d/1XL5vhW3sbDhbH9Cz0tuDiY8C3ctxq1tqvaCgkFb8cCA/edit?usp=sharing"",""อุบลราชธานี!J238"")"),130)</f>
        <v>130</v>
      </c>
      <c r="K343" s="342">
        <f t="shared" ca="1" si="103"/>
        <v>15.853658536585366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IFERROR(__xludf.DUMMYFUNCTION("IMPORTRANGE(""https://docs.google.com/spreadsheets/d/1XL5vhW3sbDhbH9Cz0tuDiY8C3ctxq1tqvaCgkFb8cCA/edit?usp=sharing"",""อุบลราชธานี!I239"")"),0)</f>
        <v>0</v>
      </c>
      <c r="J344" s="188">
        <f ca="1">IFERROR(__xludf.DUMMYFUNCTION("IMPORTRANGE(""https://docs.google.com/spreadsheets/d/1XL5vhW3sbDhbH9Cz0tuDiY8C3ctxq1tqvaCgkFb8cCA/edit?usp=sharing"",""อุบลราชธานี!J239"")"),1466.9)</f>
        <v>1466.9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IFERROR(__xludf.DUMMYFUNCTION("IMPORTRANGE(""https://docs.google.com/spreadsheets/d/1XL5vhW3sbDhbH9Cz0tuDiY8C3ctxq1tqvaCgkFb8cCA/edit?usp=sharing"",""อุบลราชธานี!I240"")"),820)</f>
        <v>820</v>
      </c>
      <c r="J345" s="188">
        <f ca="1">IFERROR(__xludf.DUMMYFUNCTION("IMPORTRANGE(""https://docs.google.com/spreadsheets/d/1XL5vhW3sbDhbH9Cz0tuDiY8C3ctxq1tqvaCgkFb8cCA/edit?usp=sharing"",""อุบลราชธานี!J240"")"),247)</f>
        <v>247</v>
      </c>
      <c r="K345" s="342">
        <f t="shared" ca="1" si="103"/>
        <v>30.121951219512194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IFERROR(__xludf.DUMMYFUNCTION("IMPORTRANGE(""https://docs.google.com/spreadsheets/d/1XL5vhW3sbDhbH9Cz0tuDiY8C3ctxq1tqvaCgkFb8cCA/edit?usp=sharing"",""อุบลราชธานี!I241"")"),0)</f>
        <v>0</v>
      </c>
      <c r="J346" s="188">
        <f ca="1">IFERROR(__xludf.DUMMYFUNCTION("IMPORTRANGE(""https://docs.google.com/spreadsheets/d/1XL5vhW3sbDhbH9Cz0tuDiY8C3ctxq1tqvaCgkFb8cCA/edit?usp=sharing"",""อุบลราชธานี!J241"")"),2897.59)</f>
        <v>2897.59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IFERROR(__xludf.DUMMYFUNCTION("IMPORTRANGE(""https://docs.google.com/spreadsheets/d/1XL5vhW3sbDhbH9Cz0tuDiY8C3ctxq1tqvaCgkFb8cCA/edit?usp=sharing"",""อุบลราชธานี!L242"")"),3381245)</f>
        <v>3381245</v>
      </c>
      <c r="M347" s="358"/>
      <c r="N347" s="358">
        <f ca="1">IFERROR(__xludf.DUMMYFUNCTION("IMPORTRANGE(""https://docs.google.com/spreadsheets/d/1XL5vhW3sbDhbH9Cz0tuDiY8C3ctxq1tqvaCgkFb8cCA/edit?usp=sharing"",""อุบลราชธานี!M242"")"),2298121.75)</f>
        <v>2298121.75</v>
      </c>
      <c r="O347" s="358">
        <f ca="1">+IF(L347&gt;0,N347*100/L347,0)</f>
        <v>67.966732667996553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IFERROR(__xludf.DUMMYFUNCTION("IMPORTRANGE(""https://docs.google.com/spreadsheets/d/1XL5vhW3sbDhbH9Cz0tuDiY8C3ctxq1tqvaCgkFb8cCA/edit?usp=sharing"",""อุบลราชธานี!I244"")"),300)</f>
        <v>300</v>
      </c>
      <c r="J349" s="371">
        <f ca="1">IFERROR(__xludf.DUMMYFUNCTION("IMPORTRANGE(""https://docs.google.com/spreadsheets/d/1XL5vhW3sbDhbH9Cz0tuDiY8C3ctxq1tqvaCgkFb8cCA/edit?usp=sharing"",""อุบลราชธานี!J244"")"),300)</f>
        <v>300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IFERROR(__xludf.DUMMYFUNCTION("IMPORTRANGE(""https://docs.google.com/spreadsheets/d/1XL5vhW3sbDhbH9Cz0tuDiY8C3ctxq1tqvaCgkFb8cCA/edit?usp=sharing"",""อุบลราชธานี!L244"")"),550180)</f>
        <v>550180</v>
      </c>
      <c r="M349" s="373"/>
      <c r="N349" s="373">
        <f ca="1">IFERROR(__xludf.DUMMYFUNCTION("IMPORTRANGE(""https://docs.google.com/spreadsheets/d/1XL5vhW3sbDhbH9Cz0tuDiY8C3ctxq1tqvaCgkFb8cCA/edit?usp=sharing"",""อุบลราชธานี!M244"")"),450773)</f>
        <v>450773</v>
      </c>
      <c r="O349" s="373">
        <f ca="1">+IF(L349&gt;0,N349*100/L349,0)</f>
        <v>81.931913192046238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IFERROR(__xludf.DUMMYFUNCTION("IMPORTRANGE(""https://docs.google.com/spreadsheets/d/1XL5vhW3sbDhbH9Cz0tuDiY8C3ctxq1tqvaCgkFb8cCA/edit?usp=sharing"",""อุบลราชธานี!I245"")"),90)</f>
        <v>90</v>
      </c>
      <c r="J350" s="371">
        <f ca="1">IFERROR(__xludf.DUMMYFUNCTION("IMPORTRANGE(""https://docs.google.com/spreadsheets/d/1XL5vhW3sbDhbH9Cz0tuDiY8C3ctxq1tqvaCgkFb8cCA/edit?usp=sharing"",""อุบลราชธานี!J245"")"),90)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IFERROR(__xludf.DUMMYFUNCTION("IMPORTRANGE(""https://docs.google.com/spreadsheets/d/1XL5vhW3sbDhbH9Cz0tuDiY8C3ctxq1tqvaCgkFb8cCA/edit?usp=sharing"",""อุบลราชธานี!L246"")"),0)</f>
        <v>0</v>
      </c>
      <c r="M351" s="164"/>
      <c r="N351" s="164">
        <f ca="1">IFERROR(__xludf.DUMMYFUNCTION("IMPORTRANGE(""https://docs.google.com/spreadsheets/d/1XL5vhW3sbDhbH9Cz0tuDiY8C3ctxq1tqvaCgkFb8cCA/edit?usp=sharing"",""อุบลราชธานี!M246"")"),0)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IFERROR(__xludf.DUMMYFUNCTION("IMPORTRANGE(""https://docs.google.com/spreadsheets/d/1XL5vhW3sbDhbH9Cz0tuDiY8C3ctxq1tqvaCgkFb8cCA/edit?usp=sharing"",""อุบลราชธานี!L247"")"),550180)</f>
        <v>550180</v>
      </c>
      <c r="M352" s="165"/>
      <c r="N352" s="164">
        <f ca="1">IFERROR(__xludf.DUMMYFUNCTION("IMPORTRANGE(""https://docs.google.com/spreadsheets/d/1XL5vhW3sbDhbH9Cz0tuDiY8C3ctxq1tqvaCgkFb8cCA/edit?usp=sharing"",""อุบลราชธานี!M247"")"),450773)</f>
        <v>450773</v>
      </c>
      <c r="O352" s="165">
        <f t="shared" ca="1" si="105"/>
        <v>81.931913192046238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IFERROR(__xludf.DUMMYFUNCTION("IMPORTRANGE(""https://docs.google.com/spreadsheets/d/1XL5vhW3sbDhbH9Cz0tuDiY8C3ctxq1tqvaCgkFb8cCA/edit?usp=sharing"",""อุบลราชธานี!L248"")"),0)</f>
        <v>0</v>
      </c>
      <c r="M353" s="169"/>
      <c r="N353" s="169">
        <f ca="1">IFERROR(__xludf.DUMMYFUNCTION("IMPORTRANGE(""https://docs.google.com/spreadsheets/d/1XL5vhW3sbDhbH9Cz0tuDiY8C3ctxq1tqvaCgkFb8cCA/edit?usp=sharing"",""อุบลราชธานี!M248"")"),0)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IFERROR(__xludf.DUMMYFUNCTION("IMPORTRANGE(""https://docs.google.com/spreadsheets/d/1XL5vhW3sbDhbH9Cz0tuDiY8C3ctxq1tqvaCgkFb8cCA/edit?usp=sharing"",""อุบลราชธานี!L249"")"),550180)</f>
        <v>550180</v>
      </c>
      <c r="M354" s="169"/>
      <c r="N354" s="168">
        <f ca="1">IFERROR(__xludf.DUMMYFUNCTION("IMPORTRANGE(""https://docs.google.com/spreadsheets/d/1XL5vhW3sbDhbH9Cz0tuDiY8C3ctxq1tqvaCgkFb8cCA/edit?usp=sharing"",""อุบลราชธานี!M249"")"),450773)</f>
        <v>450773</v>
      </c>
      <c r="O354" s="169">
        <f t="shared" ca="1" si="105"/>
        <v>81.931913192046238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IFERROR(__xludf.DUMMYFUNCTION("IMPORTRANGE(""https://docs.google.com/spreadsheets/d/1XL5vhW3sbDhbH9Cz0tuDiY8C3ctxq1tqvaCgkFb8cCA/edit?usp=sharing"",""อุบลราชธานี!M250"")"),107400)</f>
        <v>107400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IFERROR(__xludf.DUMMYFUNCTION("IMPORTRANGE(""https://docs.google.com/spreadsheets/d/1XL5vhW3sbDhbH9Cz0tuDiY8C3ctxq1tqvaCgkFb8cCA/edit?usp=sharing"",""อุบลราชธานี!M251"")"),250000)</f>
        <v>250000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IFERROR(__xludf.DUMMYFUNCTION("IMPORTRANGE(""https://docs.google.com/spreadsheets/d/1XL5vhW3sbDhbH9Cz0tuDiY8C3ctxq1tqvaCgkFb8cCA/edit?usp=sharing"",""อุบลราชธานี!M252"")"),64266)</f>
        <v>64266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IFERROR(__xludf.DUMMYFUNCTION("IMPORTRANGE(""https://docs.google.com/spreadsheets/d/1XL5vhW3sbDhbH9Cz0tuDiY8C3ctxq1tqvaCgkFb8cCA/edit?usp=sharing"",""อุบลราชธานี!M253"")"),29107)</f>
        <v>29107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IFERROR(__xludf.DUMMYFUNCTION("IMPORTRANGE(""https://docs.google.com/spreadsheets/d/1XL5vhW3sbDhbH9Cz0tuDiY8C3ctxq1tqvaCgkFb8cCA/edit?usp=sharing"",""อุบลราชธานี!J255"")"),0)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IFERROR(__xludf.DUMMYFUNCTION("IMPORTRANGE(""https://docs.google.com/spreadsheets/d/1XL5vhW3sbDhbH9Cz0tuDiY8C3ctxq1tqvaCgkFb8cCA/edit?usp=sharing"",""อุบลราชธานี!J256"")"),1)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IFERROR(__xludf.DUMMYFUNCTION("IMPORTRANGE(""https://docs.google.com/spreadsheets/d/1XL5vhW3sbDhbH9Cz0tuDiY8C3ctxq1tqvaCgkFb8cCA/edit?usp=sharing"",""อุบลราชธานี!J257"")"),1)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IFERROR(__xludf.DUMMYFUNCTION("IMPORTRANGE(""https://docs.google.com/spreadsheets/d/1XL5vhW3sbDhbH9Cz0tuDiY8C3ctxq1tqvaCgkFb8cCA/edit?usp=sharing"",""อุบลราชธานี!J258"")"),1)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IFERROR(__xludf.DUMMYFUNCTION("IMPORTRANGE(""https://docs.google.com/spreadsheets/d/1XL5vhW3sbDhbH9Cz0tuDiY8C3ctxq1tqvaCgkFb8cCA/edit?usp=sharing"",""อุบลราชธานี!J166"")"),0)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IFERROR(__xludf.DUMMYFUNCTION("IMPORTRANGE(""https://docs.google.com/spreadsheets/d/1XL5vhW3sbDhbH9Cz0tuDiY8C3ctxq1tqvaCgkFb8cCA/edit?usp=sharing"",""อุบลราชธานี!J166"")"),0)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IFERROR(__xludf.DUMMYFUNCTION("IMPORTRANGE(""https://docs.google.com/spreadsheets/d/1XL5vhW3sbDhbH9Cz0tuDiY8C3ctxq1tqvaCgkFb8cCA/edit?usp=sharing"",""อุบลราชธานี!J166"")"),0)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IFERROR(__xludf.DUMMYFUNCTION("IMPORTRANGE(""https://docs.google.com/spreadsheets/d/1XL5vhW3sbDhbH9Cz0tuDiY8C3ctxq1tqvaCgkFb8cCA/edit?usp=sharing"",""อุบลราชธานี!J166"")"),0)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IFERROR(__xludf.DUMMYFUNCTION("IMPORTRANGE(""https://docs.google.com/spreadsheets/d/1XL5vhW3sbDhbH9Cz0tuDiY8C3ctxq1tqvaCgkFb8cCA/edit?usp=sharing"",""อุบลราชธานี!I263"")"),90)</f>
        <v>90</v>
      </c>
      <c r="J368" s="188">
        <f ca="1">IFERROR(__xludf.DUMMYFUNCTION("IMPORTRANGE(""https://docs.google.com/spreadsheets/d/1XL5vhW3sbDhbH9Cz0tuDiY8C3ctxq1tqvaCgkFb8cCA/edit?usp=sharing"",""อุบลราชธานี!J263"")"),90)</f>
        <v>90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IFERROR(__xludf.DUMMYFUNCTION("IMPORTRANGE(""https://docs.google.com/spreadsheets/d/1XL5vhW3sbDhbH9Cz0tuDiY8C3ctxq1tqvaCgkFb8cCA/edit?usp=sharing"",""อุบลราชธานี!I164"")"),0)</f>
        <v>0</v>
      </c>
      <c r="J369" s="204">
        <f ca="1">IFERROR(__xludf.DUMMYFUNCTION("IMPORTRANGE(""https://docs.google.com/spreadsheets/d/1XL5vhW3sbDhbH9Cz0tuDiY8C3ctxq1tqvaCgkFb8cCA/edit?usp=sharing"",""อุบลราชธานี!J164"")"),0)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293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IFERROR(__xludf.DUMMYFUNCTION("IMPORTRANGE(""https://docs.google.com/spreadsheets/d/1XL5vhW3sbDhbH9Cz0tuDiY8C3ctxq1tqvaCgkFb8cCA/edit?usp=sharing"",""อุบลราชธานี!I265"")"),90)</f>
        <v>90</v>
      </c>
      <c r="J370" s="204">
        <f ca="1">IFERROR(__xludf.DUMMYFUNCTION("IMPORTRANGE(""https://docs.google.com/spreadsheets/d/1XL5vhW3sbDhbH9Cz0tuDiY8C3ctxq1tqvaCgkFb8cCA/edit?usp=sharing"",""อุบลราชธานี!J265"")"),90)</f>
        <v>90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IFERROR(__xludf.DUMMYFUNCTION("IMPORTRANGE(""https://docs.google.com/spreadsheets/d/1XL5vhW3sbDhbH9Cz0tuDiY8C3ctxq1tqvaCgkFb8cCA/edit?usp=sharing"",""อุบลราชธานี!I164"")"),0)</f>
        <v>0</v>
      </c>
      <c r="J371" s="189">
        <f ca="1">IFERROR(__xludf.DUMMYFUNCTION("IMPORTRANGE(""https://docs.google.com/spreadsheets/d/1XL5vhW3sbDhbH9Cz0tuDiY8C3ctxq1tqvaCgkFb8cCA/edit?usp=sharing"",""อุบลราชธานี!J164"")"),0)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293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IFERROR(__xludf.DUMMYFUNCTION("IMPORTRANGE(""https://docs.google.com/spreadsheets/d/1XL5vhW3sbDhbH9Cz0tuDiY8C3ctxq1tqvaCgkFb8cCA/edit?usp=sharing"",""อุบลราชธานี!I267"")"),90)</f>
        <v>90</v>
      </c>
      <c r="J372" s="189">
        <f ca="1">IFERROR(__xludf.DUMMYFUNCTION("IMPORTRANGE(""https://docs.google.com/spreadsheets/d/1XL5vhW3sbDhbH9Cz0tuDiY8C3ctxq1tqvaCgkFb8cCA/edit?usp=sharing"",""อุบลราชธานี!J267"")"),90)</f>
        <v>90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IFERROR(__xludf.DUMMYFUNCTION("IMPORTRANGE(""https://docs.google.com/spreadsheets/d/1XL5vhW3sbDhbH9Cz0tuDiY8C3ctxq1tqvaCgkFb8cCA/edit?usp=sharing"",""อุบลราชธานี!I164"")"),0)</f>
        <v>0</v>
      </c>
      <c r="J373" s="204">
        <f ca="1">IFERROR(__xludf.DUMMYFUNCTION("IMPORTRANGE(""https://docs.google.com/spreadsheets/d/1XL5vhW3sbDhbH9Cz0tuDiY8C3ctxq1tqvaCgkFb8cCA/edit?usp=sharing"",""อุบลราชธานี!J164"")"),0)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IFERROR(__xludf.DUMMYFUNCTION("IMPORTRANGE(""https://docs.google.com/spreadsheets/d/1XL5vhW3sbDhbH9Cz0tuDiY8C3ctxq1tqvaCgkFb8cCA/edit?usp=sharing"",""อุบลราชธานี!I164"")"),0)</f>
        <v>0</v>
      </c>
      <c r="J374" s="188">
        <f ca="1">IFERROR(__xludf.DUMMYFUNCTION("IMPORTRANGE(""https://docs.google.com/spreadsheets/d/1XL5vhW3sbDhbH9Cz0tuDiY8C3ctxq1tqvaCgkFb8cCA/edit?usp=sharing"",""อุบลราชธานี!J164"")"),0)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IFERROR(__xludf.DUMMYFUNCTION("IMPORTRANGE(""https://docs.google.com/spreadsheets/d/1XL5vhW3sbDhbH9Cz0tuDiY8C3ctxq1tqvaCgkFb8cCA/edit?usp=sharing"",""อุบลราชธานี!I270"")"),300)</f>
        <v>300</v>
      </c>
      <c r="J375" s="188">
        <f ca="1">IFERROR(__xludf.DUMMYFUNCTION("IMPORTRANGE(""https://docs.google.com/spreadsheets/d/1XL5vhW3sbDhbH9Cz0tuDiY8C3ctxq1tqvaCgkFb8cCA/edit?usp=sharing"",""อุบลราชธานี!J270"")"),300)</f>
        <v>300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IFERROR(__xludf.DUMMYFUNCTION("IMPORTRANGE(""https://docs.google.com/spreadsheets/d/1XL5vhW3sbDhbH9Cz0tuDiY8C3ctxq1tqvaCgkFb8cCA/edit?usp=sharing"",""อุบลราชธานี!I271"")"),100)</f>
        <v>100</v>
      </c>
      <c r="J376" s="189">
        <f ca="1">IFERROR(__xludf.DUMMYFUNCTION("IMPORTRANGE(""https://docs.google.com/spreadsheets/d/1XL5vhW3sbDhbH9Cz0tuDiY8C3ctxq1tqvaCgkFb8cCA/edit?usp=sharing"",""อุบลราชธานี!J271"")"),100)</f>
        <v>100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IFERROR(__xludf.DUMMYFUNCTION("IMPORTRANGE(""https://docs.google.com/spreadsheets/d/1XL5vhW3sbDhbH9Cz0tuDiY8C3ctxq1tqvaCgkFb8cCA/edit?usp=sharing"",""อุบลราชธานี!I272"")"),200)</f>
        <v>200</v>
      </c>
      <c r="J377" s="204">
        <f ca="1">IFERROR(__xludf.DUMMYFUNCTION("IMPORTRANGE(""https://docs.google.com/spreadsheets/d/1XL5vhW3sbDhbH9Cz0tuDiY8C3ctxq1tqvaCgkFb8cCA/edit?usp=sharing"",""อุบลราชธานี!J272"")"),200)</f>
        <v>200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IFERROR(__xludf.DUMMYFUNCTION("IMPORTRANGE(""https://docs.google.com/spreadsheets/d/1XL5vhW3sbDhbH9Cz0tuDiY8C3ctxq1tqvaCgkFb8cCA/edit?usp=sharing"",""อุบลราชธานี!J273"")"),0)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IFERROR(__xludf.DUMMYFUNCTION("IMPORTRANGE(""https://docs.google.com/spreadsheets/d/1XL5vhW3sbDhbH9Cz0tuDiY8C3ctxq1tqvaCgkFb8cCA/edit?usp=sharing"",""อุบลราชธานี!J274"")"),0)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IFERROR(__xludf.DUMMYFUNCTION("IMPORTRANGE(""https://docs.google.com/spreadsheets/d/1XL5vhW3sbDhbH9Cz0tuDiY8C3ctxq1tqvaCgkFb8cCA/edit?usp=sharing"",""อุบลราชธานี!I275"")"),1000)</f>
        <v>1000</v>
      </c>
      <c r="J380" s="371">
        <f ca="1">IFERROR(__xludf.DUMMYFUNCTION("IMPORTRANGE(""https://docs.google.com/spreadsheets/d/1XL5vhW3sbDhbH9Cz0tuDiY8C3ctxq1tqvaCgkFb8cCA/edit?usp=sharing"",""อุบลราชธานี!J275"")"),1000)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IFERROR(__xludf.DUMMYFUNCTION("IMPORTRANGE(""https://docs.google.com/spreadsheets/d/1XL5vhW3sbDhbH9Cz0tuDiY8C3ctxq1tqvaCgkFb8cCA/edit?usp=sharing"",""อุบลราชธานี!L275"")"),1028520)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IFERROR(__xludf.DUMMYFUNCTION("IMPORTRANGE(""https://docs.google.com/spreadsheets/d/1XL5vhW3sbDhbH9Cz0tuDiY8C3ctxq1tqvaCgkFb8cCA/edit?usp=sharing"",""อุบลราชธานี!M275"")"),902614)</f>
        <v>902614</v>
      </c>
      <c r="O380" s="373">
        <f ca="1">+IF(L380&gt;0,N380*100/L380,0)</f>
        <v>87.758526815229644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IFERROR(__xludf.DUMMYFUNCTION("IMPORTRANGE(""https://docs.google.com/spreadsheets/d/1XL5vhW3sbDhbH9Cz0tuDiY8C3ctxq1tqvaCgkFb8cCA/edit?usp=sharing"",""อุบลราชธานี!I276"")"),100)</f>
        <v>100</v>
      </c>
      <c r="J381" s="371">
        <f ca="1">IFERROR(__xludf.DUMMYFUNCTION("IMPORTRANGE(""https://docs.google.com/spreadsheets/d/1XL5vhW3sbDhbH9Cz0tuDiY8C3ctxq1tqvaCgkFb8cCA/edit?usp=sharing"",""อุบลราชธานี!J276"")"),100)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IFERROR(__xludf.DUMMYFUNCTION("IMPORTRANGE(""https://docs.google.com/spreadsheets/d/1XL5vhW3sbDhbH9Cz0tuDiY8C3ctxq1tqvaCgkFb8cCA/edit?usp=sharing"",""อุบลราชธานี!L277"")"),0)</f>
        <v>0</v>
      </c>
      <c r="M382" s="164"/>
      <c r="N382" s="164">
        <f ca="1">IFERROR(__xludf.DUMMYFUNCTION("IMPORTRANGE(""https://docs.google.com/spreadsheets/d/1XL5vhW3sbDhbH9Cz0tuDiY8C3ctxq1tqvaCgkFb8cCA/edit?usp=sharing"",""อุบลราชธานี!M277"")"),0)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IFERROR(__xludf.DUMMYFUNCTION("IMPORTRANGE(""https://docs.google.com/spreadsheets/d/1XL5vhW3sbDhbH9Cz0tuDiY8C3ctxq1tqvaCgkFb8cCA/edit?usp=sharing"",""อุบลราชธานี!L278"")"),1028520)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IFERROR(__xludf.DUMMYFUNCTION("IMPORTRANGE(""https://docs.google.com/spreadsheets/d/1XL5vhW3sbDhbH9Cz0tuDiY8C3ctxq1tqvaCgkFb8cCA/edit?usp=sharing"",""อุบลราชธานี!M278"")"),902614)</f>
        <v>902614</v>
      </c>
      <c r="O383" s="165">
        <f t="shared" ca="1" si="109"/>
        <v>87.758526815229644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IFERROR(__xludf.DUMMYFUNCTION("IMPORTRANGE(""https://docs.google.com/spreadsheets/d/1XL5vhW3sbDhbH9Cz0tuDiY8C3ctxq1tqvaCgkFb8cCA/edit?usp=sharing"",""อุบลราชธานี!L279"")"),0)</f>
        <v>0</v>
      </c>
      <c r="M384" s="169"/>
      <c r="N384" s="169">
        <f ca="1">IFERROR(__xludf.DUMMYFUNCTION("IMPORTRANGE(""https://docs.google.com/spreadsheets/d/1XL5vhW3sbDhbH9Cz0tuDiY8C3ctxq1tqvaCgkFb8cCA/edit?usp=sharing"",""อุบลราชธานี!M279"")"),0)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IFERROR(__xludf.DUMMYFUNCTION("IMPORTRANGE(""https://docs.google.com/spreadsheets/d/1XL5vhW3sbDhbH9Cz0tuDiY8C3ctxq1tqvaCgkFb8cCA/edit?usp=sharing"",""อุบลราชธานี!L280"")"),1028520)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IFERROR(__xludf.DUMMYFUNCTION("IMPORTRANGE(""https://docs.google.com/spreadsheets/d/1XL5vhW3sbDhbH9Cz0tuDiY8C3ctxq1tqvaCgkFb8cCA/edit?usp=sharing"",""อุบลราชธานี!M280"")"),902614)</f>
        <v>902614</v>
      </c>
      <c r="O385" s="169">
        <f t="shared" ca="1" si="109"/>
        <v>87.758526815229644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IFERROR(__xludf.DUMMYFUNCTION("IMPORTRANGE(""https://docs.google.com/spreadsheets/d/1XL5vhW3sbDhbH9Cz0tuDiY8C3ctxq1tqvaCgkFb8cCA/edit?usp=sharing"",""อุบลราชธานี!M281"")"),217204)</f>
        <v>217204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IFERROR(__xludf.DUMMYFUNCTION("IMPORTRANGE(""https://docs.google.com/spreadsheets/d/1XL5vhW3sbDhbH9Cz0tuDiY8C3ctxq1tqvaCgkFb8cCA/edit?usp=sharing"",""อุบลราชธานี!M282"")"),625000)</f>
        <v>625000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IFERROR(__xludf.DUMMYFUNCTION("IMPORTRANGE(""https://docs.google.com/spreadsheets/d/1XL5vhW3sbDhbH9Cz0tuDiY8C3ctxq1tqvaCgkFb8cCA/edit?usp=sharing"",""อุบลราชธานี!M283"")"),55000)</f>
        <v>55000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IFERROR(__xludf.DUMMYFUNCTION("IMPORTRANGE(""https://docs.google.com/spreadsheets/d/1XL5vhW3sbDhbH9Cz0tuDiY8C3ctxq1tqvaCgkFb8cCA/edit?usp=sharing"",""อุบลราชธานี!M284"")"),5410)</f>
        <v>5410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IFERROR(__xludf.DUMMYFUNCTION("IMPORTRANGE(""https://docs.google.com/spreadsheets/d/1XL5vhW3sbDhbH9Cz0tuDiY8C3ctxq1tqvaCgkFb8cCA/edit?usp=sharing"",""อุบลราชธานี!J286"")"),0)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IFERROR(__xludf.DUMMYFUNCTION("IMPORTRANGE(""https://docs.google.com/spreadsheets/d/1XL5vhW3sbDhbH9Cz0tuDiY8C3ctxq1tqvaCgkFb8cCA/edit?usp=sharing"",""อุบลราชธานี!J287"")"),1)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IFERROR(__xludf.DUMMYFUNCTION("IMPORTRANGE(""https://docs.google.com/spreadsheets/d/1XL5vhW3sbDhbH9Cz0tuDiY8C3ctxq1tqvaCgkFb8cCA/edit?usp=sharing"",""อุบลราชธานี!J288"")"),1)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IFERROR(__xludf.DUMMYFUNCTION("IMPORTRANGE(""https://docs.google.com/spreadsheets/d/1XL5vhW3sbDhbH9Cz0tuDiY8C3ctxq1tqvaCgkFb8cCA/edit?usp=sharing"",""อุบลราชธานี!J289"")"),1)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IFERROR(__xludf.DUMMYFUNCTION("IMPORTRANGE(""https://docs.google.com/spreadsheets/d/1XL5vhW3sbDhbH9Cz0tuDiY8C3ctxq1tqvaCgkFb8cCA/edit?usp=sharing"",""อุบลราชธานี!I291"")"),100)</f>
        <v>100</v>
      </c>
      <c r="J396" s="198">
        <f ca="1">IFERROR(__xludf.DUMMYFUNCTION("IMPORTRANGE(""https://docs.google.com/spreadsheets/d/1XL5vhW3sbDhbH9Cz0tuDiY8C3ctxq1tqvaCgkFb8cCA/edit?usp=sharing"",""อุบลราชธานี!J291"")"),100)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IFERROR(__xludf.DUMMYFUNCTION("IMPORTRANGE(""https://docs.google.com/spreadsheets/d/1XL5vhW3sbDhbH9Cz0tuDiY8C3ctxq1tqvaCgkFb8cCA/edit?usp=sharing"",""อุบลราชธานี!I292"")"),1000)</f>
        <v>1000</v>
      </c>
      <c r="J397" s="198">
        <f ca="1">IFERROR(__xludf.DUMMYFUNCTION("IMPORTRANGE(""https://docs.google.com/spreadsheets/d/1XL5vhW3sbDhbH9Cz0tuDiY8C3ctxq1tqvaCgkFb8cCA/edit?usp=sharing"",""อุบลราชธานี!J292"")"),1000)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IFERROR(__xludf.DUMMYFUNCTION("IMPORTRANGE(""https://docs.google.com/spreadsheets/d/1XL5vhW3sbDhbH9Cz0tuDiY8C3ctxq1tqvaCgkFb8cCA/edit?usp=sharing"",""อุบลราชธานี!I293"")"),100)</f>
        <v>100</v>
      </c>
      <c r="J398" s="198">
        <f ca="1">IFERROR(__xludf.DUMMYFUNCTION("IMPORTRANGE(""https://docs.google.com/spreadsheets/d/1XL5vhW3sbDhbH9Cz0tuDiY8C3ctxq1tqvaCgkFb8cCA/edit?usp=sharing"",""อุบลราชธานี!J293"")"),100)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IFERROR(__xludf.DUMMYFUNCTION("IMPORTRANGE(""https://docs.google.com/spreadsheets/d/1XL5vhW3sbDhbH9Cz0tuDiY8C3ctxq1tqvaCgkFb8cCA/edit?usp=sharing"",""อุบลราชธานี!J294"")"),0)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IFERROR(__xludf.DUMMYFUNCTION("IMPORTRANGE(""https://docs.google.com/spreadsheets/d/1XL5vhW3sbDhbH9Cz0tuDiY8C3ctxq1tqvaCgkFb8cCA/edit?usp=sharing"",""อุบลราชธานี!J295"")"),0)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IFERROR(__xludf.DUMMYFUNCTION("IMPORTRANGE(""https://docs.google.com/spreadsheets/d/1XL5vhW3sbDhbH9Cz0tuDiY8C3ctxq1tqvaCgkFb8cCA/edit?usp=sharing"",""อุบลราชธานี!I296"")"),213)</f>
        <v>213</v>
      </c>
      <c r="J401" s="371">
        <f ca="1">IFERROR(__xludf.DUMMYFUNCTION("IMPORTRANGE(""https://docs.google.com/spreadsheets/d/1XL5vhW3sbDhbH9Cz0tuDiY8C3ctxq1tqvaCgkFb8cCA/edit?usp=sharing"",""อุบลราชธานี!J296"")"),213)</f>
        <v>213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IFERROR(__xludf.DUMMYFUNCTION("IMPORTRANGE(""https://docs.google.com/spreadsheets/d/1XL5vhW3sbDhbH9Cz0tuDiY8C3ctxq1tqvaCgkFb8cCA/edit?usp=sharing"",""อุบลราชธานี!L296"")"),233280)</f>
        <v>233280</v>
      </c>
      <c r="M401" s="373"/>
      <c r="N401" s="373">
        <f ca="1">IFERROR(__xludf.DUMMYFUNCTION("IMPORTRANGE(""https://docs.google.com/spreadsheets/d/1XL5vhW3sbDhbH9Cz0tuDiY8C3ctxq1tqvaCgkFb8cCA/edit?usp=sharing"",""อุบลราชธานี!M296"")"),179270)</f>
        <v>179270</v>
      </c>
      <c r="O401" s="373">
        <f ca="1">+IF(L401&gt;0,N401*100/L401,0)</f>
        <v>76.847565157750338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IFERROR(__xludf.DUMMYFUNCTION("IMPORTRANGE(""https://docs.google.com/spreadsheets/d/1XL5vhW3sbDhbH9Cz0tuDiY8C3ctxq1tqvaCgkFb8cCA/edit?usp=sharing"",""อุบลราชธานี!I297"")"),71)</f>
        <v>71</v>
      </c>
      <c r="J402" s="371">
        <f ca="1">IFERROR(__xludf.DUMMYFUNCTION("IMPORTRANGE(""https://docs.google.com/spreadsheets/d/1XL5vhW3sbDhbH9Cz0tuDiY8C3ctxq1tqvaCgkFb8cCA/edit?usp=sharing"",""อุบลราชธานี!J297"")"),71)</f>
        <v>71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IFERROR(__xludf.DUMMYFUNCTION("IMPORTRANGE(""https://docs.google.com/spreadsheets/d/1XL5vhW3sbDhbH9Cz0tuDiY8C3ctxq1tqvaCgkFb8cCA/edit?usp=sharing"",""อุบลราชธานี!L298"")"),0)</f>
        <v>0</v>
      </c>
      <c r="M403" s="164"/>
      <c r="N403" s="169">
        <f ca="1">IFERROR(__xludf.DUMMYFUNCTION("IMPORTRANGE(""https://docs.google.com/spreadsheets/d/1XL5vhW3sbDhbH9Cz0tuDiY8C3ctxq1tqvaCgkFb8cCA/edit?usp=sharing"",""อุบลราชธานี!M298"")"),0)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IFERROR(__xludf.DUMMYFUNCTION("IMPORTRANGE(""https://docs.google.com/spreadsheets/d/1XL5vhW3sbDhbH9Cz0tuDiY8C3ctxq1tqvaCgkFb8cCA/edit?usp=sharing"",""อุบลราชธานี!L299"")"),233280)</f>
        <v>233280</v>
      </c>
      <c r="M404" s="165"/>
      <c r="N404" s="169">
        <f ca="1">IFERROR(__xludf.DUMMYFUNCTION("IMPORTRANGE(""https://docs.google.com/spreadsheets/d/1XL5vhW3sbDhbH9Cz0tuDiY8C3ctxq1tqvaCgkFb8cCA/edit?usp=sharing"",""อุบลราชธานี!M299"")"),179270)</f>
        <v>179270</v>
      </c>
      <c r="O404" s="169">
        <f t="shared" ca="1" si="112"/>
        <v>76.847565157750338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IFERROR(__xludf.DUMMYFUNCTION("IMPORTRANGE(""https://docs.google.com/spreadsheets/d/1XL5vhW3sbDhbH9Cz0tuDiY8C3ctxq1tqvaCgkFb8cCA/edit?usp=sharing"",""อุบลราชธานี!L300"")"),0)</f>
        <v>0</v>
      </c>
      <c r="M405" s="169"/>
      <c r="N405" s="169">
        <f ca="1">IFERROR(__xludf.DUMMYFUNCTION("IMPORTRANGE(""https://docs.google.com/spreadsheets/d/1XL5vhW3sbDhbH9Cz0tuDiY8C3ctxq1tqvaCgkFb8cCA/edit?usp=sharing"",""อุบลราชธานี!M300"")"),0)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IFERROR(__xludf.DUMMYFUNCTION("IMPORTRANGE(""https://docs.google.com/spreadsheets/d/1XL5vhW3sbDhbH9Cz0tuDiY8C3ctxq1tqvaCgkFb8cCA/edit?usp=sharing"",""อุบลราชธานี!L301"")"),233280)</f>
        <v>233280</v>
      </c>
      <c r="M406" s="169"/>
      <c r="N406" s="169">
        <f ca="1">IFERROR(__xludf.DUMMYFUNCTION("IMPORTRANGE(""https://docs.google.com/spreadsheets/d/1XL5vhW3sbDhbH9Cz0tuDiY8C3ctxq1tqvaCgkFb8cCA/edit?usp=sharing"",""อุบลราชธานี!M301"")"),179270)</f>
        <v>179270</v>
      </c>
      <c r="O406" s="169">
        <f t="shared" ca="1" si="112"/>
        <v>76.847565157750338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IFERROR(__xludf.DUMMYFUNCTION("IMPORTRANGE(""https://docs.google.com/spreadsheets/d/1XL5vhW3sbDhbH9Cz0tuDiY8C3ctxq1tqvaCgkFb8cCA/edit?usp=sharing"",""อุบลราชธานี!M302"")"),124310)</f>
        <v>124310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IFERROR(__xludf.DUMMYFUNCTION("IMPORTRANGE(""https://docs.google.com/spreadsheets/d/1XL5vhW3sbDhbH9Cz0tuDiY8C3ctxq1tqvaCgkFb8cCA/edit?usp=sharing"",""อุบลราชธานี!M303"")"),53100)</f>
        <v>53100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IFERROR(__xludf.DUMMYFUNCTION("IMPORTRANGE(""https://docs.google.com/spreadsheets/d/1XL5vhW3sbDhbH9Cz0tuDiY8C3ctxq1tqvaCgkFb8cCA/edit?usp=sharing"",""อุบลราชธานี!M304"")"),1860)</f>
        <v>1860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IFERROR(__xludf.DUMMYFUNCTION("IMPORTRANGE(""https://docs.google.com/spreadsheets/d/1XL5vhW3sbDhbH9Cz0tuDiY8C3ctxq1tqvaCgkFb8cCA/edit?usp=sharing"",""อุบลราชธานี!M305"")"),0)</f>
        <v>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IFERROR(__xludf.DUMMYFUNCTION("IMPORTRANGE(""https://docs.google.com/spreadsheets/d/1XL5vhW3sbDhbH9Cz0tuDiY8C3ctxq1tqvaCgkFb8cCA/edit?usp=sharing"",""อุบลราชธานี!J307"")"),0)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IFERROR(__xludf.DUMMYFUNCTION("IMPORTRANGE(""https://docs.google.com/spreadsheets/d/1XL5vhW3sbDhbH9Cz0tuDiY8C3ctxq1tqvaCgkFb8cCA/edit?usp=sharing"",""อุบลราชธานี!J308"")"),1)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IFERROR(__xludf.DUMMYFUNCTION("IMPORTRANGE(""https://docs.google.com/spreadsheets/d/1XL5vhW3sbDhbH9Cz0tuDiY8C3ctxq1tqvaCgkFb8cCA/edit?usp=sharing"",""อุบลราชธานี!J309"")"),1)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IFERROR(__xludf.DUMMYFUNCTION("IMPORTRANGE(""https://docs.google.com/spreadsheets/d/1XL5vhW3sbDhbH9Cz0tuDiY8C3ctxq1tqvaCgkFb8cCA/edit?usp=sharing"",""อุบลราชธานี!J310"")"),1)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IFERROR(__xludf.DUMMYFUNCTION("IMPORTRANGE(""https://docs.google.com/spreadsheets/d/1XL5vhW3sbDhbH9Cz0tuDiY8C3ctxq1tqvaCgkFb8cCA/edit?usp=sharing"",""อุบลราชธานี!I311"")"),71)</f>
        <v>71</v>
      </c>
      <c r="J416" s="201">
        <f ca="1">IFERROR(__xludf.DUMMYFUNCTION("IMPORTRANGE(""https://docs.google.com/spreadsheets/d/1XL5vhW3sbDhbH9Cz0tuDiY8C3ctxq1tqvaCgkFb8cCA/edit?usp=sharing"",""อุบลราชธานี!J311"")"),71)</f>
        <v>71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IFERROR(__xludf.DUMMYFUNCTION("IMPORTRANGE(""https://docs.google.com/spreadsheets/d/1XL5vhW3sbDhbH9Cz0tuDiY8C3ctxq1tqvaCgkFb8cCA/edit?usp=sharing"",""อุบลราชธานี!I312"")"),13)</f>
        <v>13</v>
      </c>
      <c r="J417" s="392">
        <f ca="1">IFERROR(__xludf.DUMMYFUNCTION("IMPORTRANGE(""https://docs.google.com/spreadsheets/d/1XL5vhW3sbDhbH9Cz0tuDiY8C3ctxq1tqvaCgkFb8cCA/edit?usp=sharing"",""อุบลราชธานี!J312"")"),13)</f>
        <v>13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IFERROR(__xludf.DUMMYFUNCTION("IMPORTRANGE(""https://docs.google.com/spreadsheets/d/1XL5vhW3sbDhbH9Cz0tuDiY8C3ctxq1tqvaCgkFb8cCA/edit?usp=sharing"",""อุบลราชธานี!I313"")"),39)</f>
        <v>39</v>
      </c>
      <c r="J418" s="393">
        <f ca="1">IFERROR(__xludf.DUMMYFUNCTION("IMPORTRANGE(""https://docs.google.com/spreadsheets/d/1XL5vhW3sbDhbH9Cz0tuDiY8C3ctxq1tqvaCgkFb8cCA/edit?usp=sharing"",""อุบลราชธานี!J313"")"),39)</f>
        <v>39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IFERROR(__xludf.DUMMYFUNCTION("IMPORTRANGE(""https://docs.google.com/spreadsheets/d/1XL5vhW3sbDhbH9Cz0tuDiY8C3ctxq1tqvaCgkFb8cCA/edit?usp=sharing"",""อุบลราชธานี!I314"")"),13)</f>
        <v>13</v>
      </c>
      <c r="J419" s="394">
        <f ca="1">IFERROR(__xludf.DUMMYFUNCTION("IMPORTRANGE(""https://docs.google.com/spreadsheets/d/1XL5vhW3sbDhbH9Cz0tuDiY8C3ctxq1tqvaCgkFb8cCA/edit?usp=sharing"",""อุบลราชธานี!J314"")"),13)</f>
        <v>13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IFERROR(__xludf.DUMMYFUNCTION("IMPORTRANGE(""https://docs.google.com/spreadsheets/d/1XL5vhW3sbDhbH9Cz0tuDiY8C3ctxq1tqvaCgkFb8cCA/edit?usp=sharing"",""อุบลราชธานี!I315"")"),13)</f>
        <v>13</v>
      </c>
      <c r="J420" s="394">
        <f ca="1">IFERROR(__xludf.DUMMYFUNCTION("IMPORTRANGE(""https://docs.google.com/spreadsheets/d/1XL5vhW3sbDhbH9Cz0tuDiY8C3ctxq1tqvaCgkFb8cCA/edit?usp=sharing"",""อุบลราชธานี!J315"")"),13)</f>
        <v>13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IFERROR(__xludf.DUMMYFUNCTION("IMPORTRANGE(""https://docs.google.com/spreadsheets/d/1XL5vhW3sbDhbH9Cz0tuDiY8C3ctxq1tqvaCgkFb8cCA/edit?usp=sharing"",""อุบลราชธานี!I316"")"),48)</f>
        <v>48</v>
      </c>
      <c r="J421" s="392">
        <f ca="1">IFERROR(__xludf.DUMMYFUNCTION("IMPORTRANGE(""https://docs.google.com/spreadsheets/d/1XL5vhW3sbDhbH9Cz0tuDiY8C3ctxq1tqvaCgkFb8cCA/edit?usp=sharing"",""อุบลราชธานี!J316"")"),48)</f>
        <v>48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IFERROR(__xludf.DUMMYFUNCTION("IMPORTRANGE(""https://docs.google.com/spreadsheets/d/1XL5vhW3sbDhbH9Cz0tuDiY8C3ctxq1tqvaCgkFb8cCA/edit?usp=sharing"",""อุบลราชธานี!I317"")"),144)</f>
        <v>144</v>
      </c>
      <c r="J422" s="393">
        <f ca="1">IFERROR(__xludf.DUMMYFUNCTION("IMPORTRANGE(""https://docs.google.com/spreadsheets/d/1XL5vhW3sbDhbH9Cz0tuDiY8C3ctxq1tqvaCgkFb8cCA/edit?usp=sharing"",""อุบลราชธานี!J317"")"),144)</f>
        <v>144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IFERROR(__xludf.DUMMYFUNCTION("IMPORTRANGE(""https://docs.google.com/spreadsheets/d/1XL5vhW3sbDhbH9Cz0tuDiY8C3ctxq1tqvaCgkFb8cCA/edit?usp=sharing"",""อุบลราชธานี!I318"")"),48)</f>
        <v>48</v>
      </c>
      <c r="J423" s="394">
        <f ca="1">IFERROR(__xludf.DUMMYFUNCTION("IMPORTRANGE(""https://docs.google.com/spreadsheets/d/1XL5vhW3sbDhbH9Cz0tuDiY8C3ctxq1tqvaCgkFb8cCA/edit?usp=sharing"",""อุบลราชธานี!J318"")"),48)</f>
        <v>48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IFERROR(__xludf.DUMMYFUNCTION("IMPORTRANGE(""https://docs.google.com/spreadsheets/d/1XL5vhW3sbDhbH9Cz0tuDiY8C3ctxq1tqvaCgkFb8cCA/edit?usp=sharing"",""อุบลราชธานี!I319"")"),48)</f>
        <v>48</v>
      </c>
      <c r="J424" s="394">
        <f ca="1">IFERROR(__xludf.DUMMYFUNCTION("IMPORTRANGE(""https://docs.google.com/spreadsheets/d/1XL5vhW3sbDhbH9Cz0tuDiY8C3ctxq1tqvaCgkFb8cCA/edit?usp=sharing"",""อุบลราชธานี!J319"")"),48)</f>
        <v>48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IFERROR(__xludf.DUMMYFUNCTION("IMPORTRANGE(""https://docs.google.com/spreadsheets/d/1XL5vhW3sbDhbH9Cz0tuDiY8C3ctxq1tqvaCgkFb8cCA/edit?usp=sharing"",""อุบลราชธานี!I320"")"),48)</f>
        <v>48</v>
      </c>
      <c r="J425" s="394">
        <f ca="1">IFERROR(__xludf.DUMMYFUNCTION("IMPORTRANGE(""https://docs.google.com/spreadsheets/d/1XL5vhW3sbDhbH9Cz0tuDiY8C3ctxq1tqvaCgkFb8cCA/edit?usp=sharing"",""อุบลราชธานี!J320"")"),48)</f>
        <v>48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IFERROR(__xludf.DUMMYFUNCTION("IMPORTRANGE(""https://docs.google.com/spreadsheets/d/1XL5vhW3sbDhbH9Cz0tuDiY8C3ctxq1tqvaCgkFb8cCA/edit?usp=sharing"",""อุบลราชธานี!I321"")"),10)</f>
        <v>10</v>
      </c>
      <c r="J426" s="392">
        <f ca="1">IFERROR(__xludf.DUMMYFUNCTION("IMPORTRANGE(""https://docs.google.com/spreadsheets/d/1XL5vhW3sbDhbH9Cz0tuDiY8C3ctxq1tqvaCgkFb8cCA/edit?usp=sharing"",""อุบลราชธานี!J321"")"),10)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IFERROR(__xludf.DUMMYFUNCTION("IMPORTRANGE(""https://docs.google.com/spreadsheets/d/1XL5vhW3sbDhbH9Cz0tuDiY8C3ctxq1tqvaCgkFb8cCA/edit?usp=sharing"",""อุบลราชธานี!I322"")"),30)</f>
        <v>30</v>
      </c>
      <c r="J427" s="393">
        <f ca="1">IFERROR(__xludf.DUMMYFUNCTION("IMPORTRANGE(""https://docs.google.com/spreadsheets/d/1XL5vhW3sbDhbH9Cz0tuDiY8C3ctxq1tqvaCgkFb8cCA/edit?usp=sharing"",""อุบลราชธานี!J322"")"),30)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IFERROR(__xludf.DUMMYFUNCTION("IMPORTRANGE(""https://docs.google.com/spreadsheets/d/1XL5vhW3sbDhbH9Cz0tuDiY8C3ctxq1tqvaCgkFb8cCA/edit?usp=sharing"",""อุบลราชธานี!I323"")"),10)</f>
        <v>10</v>
      </c>
      <c r="J428" s="394">
        <f ca="1">IFERROR(__xludf.DUMMYFUNCTION("IMPORTRANGE(""https://docs.google.com/spreadsheets/d/1XL5vhW3sbDhbH9Cz0tuDiY8C3ctxq1tqvaCgkFb8cCA/edit?usp=sharing"",""อุบลราชธานี!J323"")"),10)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IFERROR(__xludf.DUMMYFUNCTION("IMPORTRANGE(""https://docs.google.com/spreadsheets/d/1XL5vhW3sbDhbH9Cz0tuDiY8C3ctxq1tqvaCgkFb8cCA/edit?usp=sharing"",""อุบลราชธานี!I324"")"),10)</f>
        <v>10</v>
      </c>
      <c r="J429" s="394">
        <f ca="1">IFERROR(__xludf.DUMMYFUNCTION("IMPORTRANGE(""https://docs.google.com/spreadsheets/d/1XL5vhW3sbDhbH9Cz0tuDiY8C3ctxq1tqvaCgkFb8cCA/edit?usp=sharing"",""อุบลราชธานี!J324"")"),10)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IFERROR(__xludf.DUMMYFUNCTION("IMPORTRANGE(""https://docs.google.com/spreadsheets/d/1XL5vhW3sbDhbH9Cz0tuDiY8C3ctxq1tqvaCgkFb8cCA/edit?usp=sharing"",""อุบลราชธานี!I325"")"),61)</f>
        <v>61</v>
      </c>
      <c r="J430" s="392">
        <f ca="1">IFERROR(__xludf.DUMMYFUNCTION("IMPORTRANGE(""https://docs.google.com/spreadsheets/d/1XL5vhW3sbDhbH9Cz0tuDiY8C3ctxq1tqvaCgkFb8cCA/edit?usp=sharing"",""อุบลราชธานี!J325"")"),61)</f>
        <v>61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IFERROR(__xludf.DUMMYFUNCTION("IMPORTRANGE(""https://docs.google.com/spreadsheets/d/1XL5vhW3sbDhbH9Cz0tuDiY8C3ctxq1tqvaCgkFb8cCA/edit?usp=sharing"",""อุบลราชธานี!I326"")"),13)</f>
        <v>13</v>
      </c>
      <c r="J431" s="394">
        <f ca="1">IFERROR(__xludf.DUMMYFUNCTION("IMPORTRANGE(""https://docs.google.com/spreadsheets/d/1XL5vhW3sbDhbH9Cz0tuDiY8C3ctxq1tqvaCgkFb8cCA/edit?usp=sharing"",""อุบลราชธานี!J326"")"),13)</f>
        <v>13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IFERROR(__xludf.DUMMYFUNCTION("IMPORTRANGE(""https://docs.google.com/spreadsheets/d/1XL5vhW3sbDhbH9Cz0tuDiY8C3ctxq1tqvaCgkFb8cCA/edit?usp=sharing"",""อุบลราชธานี!I327"")"),48)</f>
        <v>48</v>
      </c>
      <c r="J432" s="394">
        <f ca="1">IFERROR(__xludf.DUMMYFUNCTION("IMPORTRANGE(""https://docs.google.com/spreadsheets/d/1XL5vhW3sbDhbH9Cz0tuDiY8C3ctxq1tqvaCgkFb8cCA/edit?usp=sharing"",""อุบลราชธานี!J327"")"),48)</f>
        <v>48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IFERROR(__xludf.DUMMYFUNCTION("IMPORTRANGE(""https://docs.google.com/spreadsheets/d/1XL5vhW3sbDhbH9Cz0tuDiY8C3ctxq1tqvaCgkFb8cCA/edit?usp=sharing"",""อุบลราชธานี!J328"")"),0)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IFERROR(__xludf.DUMMYFUNCTION("IMPORTRANGE(""https://docs.google.com/spreadsheets/d/1XL5vhW3sbDhbH9Cz0tuDiY8C3ctxq1tqvaCgkFb8cCA/edit?usp=sharing"",""อุบลราชธานี!J329"")"),0)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IFERROR(__xludf.DUMMYFUNCTION("IMPORTRANGE(""https://docs.google.com/spreadsheets/d/1XL5vhW3sbDhbH9Cz0tuDiY8C3ctxq1tqvaCgkFb8cCA/edit?usp=sharing"",""อุบลราชธานี!I330"")"),40)</f>
        <v>40</v>
      </c>
      <c r="J435" s="410">
        <f ca="1">IFERROR(__xludf.DUMMYFUNCTION("IMPORTRANGE(""https://docs.google.com/spreadsheets/d/1XL5vhW3sbDhbH9Cz0tuDiY8C3ctxq1tqvaCgkFb8cCA/edit?usp=sharing"",""อุบลราชธานี!J330"")"),40)</f>
        <v>40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IFERROR(__xludf.DUMMYFUNCTION("IMPORTRANGE(""https://docs.google.com/spreadsheets/d/1XL5vhW3sbDhbH9Cz0tuDiY8C3ctxq1tqvaCgkFb8cCA/edit?usp=sharing"",""อุบลราชธานี!L330"")"),144000)</f>
        <v>144000</v>
      </c>
      <c r="M435" s="412"/>
      <c r="N435" s="412">
        <f ca="1">IFERROR(__xludf.DUMMYFUNCTION("IMPORTRANGE(""https://docs.google.com/spreadsheets/d/1XL5vhW3sbDhbH9Cz0tuDiY8C3ctxq1tqvaCgkFb8cCA/edit?usp=sharing"",""อุบลราชธานี!M330"")"),134178)</f>
        <v>134178</v>
      </c>
      <c r="O435" s="412">
        <f t="shared" ref="O435:O439" ca="1" si="114">+IF(L435&gt;0,N435*100/L435,0)</f>
        <v>93.17916666666666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IFERROR(__xludf.DUMMYFUNCTION("IMPORTRANGE(""https://docs.google.com/spreadsheets/d/1XL5vhW3sbDhbH9Cz0tuDiY8C3ctxq1tqvaCgkFb8cCA/edit?usp=sharing"",""อุบลราชธานี!L331"")"),0)</f>
        <v>0</v>
      </c>
      <c r="M436" s="164"/>
      <c r="N436" s="169">
        <f ca="1">IFERROR(__xludf.DUMMYFUNCTION("IMPORTRANGE(""https://docs.google.com/spreadsheets/d/1XL5vhW3sbDhbH9Cz0tuDiY8C3ctxq1tqvaCgkFb8cCA/edit?usp=sharing"",""อุบลราชธานี!M331"")"),0)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IFERROR(__xludf.DUMMYFUNCTION("IMPORTRANGE(""https://docs.google.com/spreadsheets/d/1XL5vhW3sbDhbH9Cz0tuDiY8C3ctxq1tqvaCgkFb8cCA/edit?usp=sharing"",""อุบลราชธานี!L332"")"),144000)</f>
        <v>144000</v>
      </c>
      <c r="M437" s="165"/>
      <c r="N437" s="169">
        <f ca="1">IFERROR(__xludf.DUMMYFUNCTION("IMPORTRANGE(""https://docs.google.com/spreadsheets/d/1XL5vhW3sbDhbH9Cz0tuDiY8C3ctxq1tqvaCgkFb8cCA/edit?usp=sharing"",""อุบลราชธานี!M332"")"),134178)</f>
        <v>134178</v>
      </c>
      <c r="O437" s="169">
        <f t="shared" ca="1" si="114"/>
        <v>93.17916666666666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IFERROR(__xludf.DUMMYFUNCTION("IMPORTRANGE(""https://docs.google.com/spreadsheets/d/1XL5vhW3sbDhbH9Cz0tuDiY8C3ctxq1tqvaCgkFb8cCA/edit?usp=sharing"",""อุบลราชธานี!L333"")"),0)</f>
        <v>0</v>
      </c>
      <c r="M438" s="169"/>
      <c r="N438" s="169">
        <f ca="1">IFERROR(__xludf.DUMMYFUNCTION("IMPORTRANGE(""https://docs.google.com/spreadsheets/d/1XL5vhW3sbDhbH9Cz0tuDiY8C3ctxq1tqvaCgkFb8cCA/edit?usp=sharing"",""อุบลราชธานี!M333"")"),0)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IFERROR(__xludf.DUMMYFUNCTION("IMPORTRANGE(""https://docs.google.com/spreadsheets/d/1XL5vhW3sbDhbH9Cz0tuDiY8C3ctxq1tqvaCgkFb8cCA/edit?usp=sharing"",""อุบลราชธานี!L334"")"),144000)</f>
        <v>144000</v>
      </c>
      <c r="M439" s="169"/>
      <c r="N439" s="169">
        <f ca="1">IFERROR(__xludf.DUMMYFUNCTION("IMPORTRANGE(""https://docs.google.com/spreadsheets/d/1XL5vhW3sbDhbH9Cz0tuDiY8C3ctxq1tqvaCgkFb8cCA/edit?usp=sharing"",""อุบลราชธานี!M334"")"),134178)</f>
        <v>134178</v>
      </c>
      <c r="O439" s="169">
        <f t="shared" ca="1" si="114"/>
        <v>93.17916666666666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IFERROR(__xludf.DUMMYFUNCTION("IMPORTRANGE(""https://docs.google.com/spreadsheets/d/1XL5vhW3sbDhbH9Cz0tuDiY8C3ctxq1tqvaCgkFb8cCA/edit?usp=sharing"",""อุบลราชธานี!M335"")"),71869)</f>
        <v>71869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IFERROR(__xludf.DUMMYFUNCTION("IMPORTRANGE(""https://docs.google.com/spreadsheets/d/1XL5vhW3sbDhbH9Cz0tuDiY8C3ctxq1tqvaCgkFb8cCA/edit?usp=sharing"",""อุบลราชธานี!M336"")"),0)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IFERROR(__xludf.DUMMYFUNCTION("IMPORTRANGE(""https://docs.google.com/spreadsheets/d/1XL5vhW3sbDhbH9Cz0tuDiY8C3ctxq1tqvaCgkFb8cCA/edit?usp=sharing"",""อุบลราชธานี!M337"")"),0)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IFERROR(__xludf.DUMMYFUNCTION("IMPORTRANGE(""https://docs.google.com/spreadsheets/d/1XL5vhW3sbDhbH9Cz0tuDiY8C3ctxq1tqvaCgkFb8cCA/edit?usp=sharing"",""อุบลราชธานี!M338"")"),62309)</f>
        <v>62309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IFERROR(__xludf.DUMMYFUNCTION("IMPORTRANGE(""https://docs.google.com/spreadsheets/d/1XL5vhW3sbDhbH9Cz0tuDiY8C3ctxq1tqvaCgkFb8cCA/edit?usp=sharing"",""อุบลราชธานี!J340"")"),0)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IFERROR(__xludf.DUMMYFUNCTION("IMPORTRANGE(""https://docs.google.com/spreadsheets/d/1XL5vhW3sbDhbH9Cz0tuDiY8C3ctxq1tqvaCgkFb8cCA/edit?usp=sharing"",""อุบลราชธานี!J341"")"),1)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IFERROR(__xludf.DUMMYFUNCTION("IMPORTRANGE(""https://docs.google.com/spreadsheets/d/1XL5vhW3sbDhbH9Cz0tuDiY8C3ctxq1tqvaCgkFb8cCA/edit?usp=sharing"",""อุบลราชธานี!J342"")"),1)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IFERROR(__xludf.DUMMYFUNCTION("IMPORTRANGE(""https://docs.google.com/spreadsheets/d/1XL5vhW3sbDhbH9Cz0tuDiY8C3ctxq1tqvaCgkFb8cCA/edit?usp=sharing"",""อุบลราชธานี!J343"")"),1)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IFERROR(__xludf.DUMMYFUNCTION("IMPORTRANGE(""https://docs.google.com/spreadsheets/d/1XL5vhW3sbDhbH9Cz0tuDiY8C3ctxq1tqvaCgkFb8cCA/edit?usp=sharing"",""อุบลราชธานี!I344"")"),40)</f>
        <v>40</v>
      </c>
      <c r="J449" s="201">
        <f ca="1">IFERROR(__xludf.DUMMYFUNCTION("IMPORTRANGE(""https://docs.google.com/spreadsheets/d/1XL5vhW3sbDhbH9Cz0tuDiY8C3ctxq1tqvaCgkFb8cCA/edit?usp=sharing"",""อุบลราชธานี!J344"")"),40)</f>
        <v>40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IFERROR(__xludf.DUMMYFUNCTION("IMPORTRANGE(""https://docs.google.com/spreadsheets/d/1XL5vhW3sbDhbH9Cz0tuDiY8C3ctxq1tqvaCgkFb8cCA/edit?usp=sharing"",""อุบลราชธานี!I345"")"),40)</f>
        <v>40</v>
      </c>
      <c r="J450" s="189">
        <f ca="1">IFERROR(__xludf.DUMMYFUNCTION("IMPORTRANGE(""https://docs.google.com/spreadsheets/d/1XL5vhW3sbDhbH9Cz0tuDiY8C3ctxq1tqvaCgkFb8cCA/edit?usp=sharing"",""อุบลราชธานี!J345"")"),40)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IFERROR(__xludf.DUMMYFUNCTION("IMPORTRANGE(""https://docs.google.com/spreadsheets/d/1XL5vhW3sbDhbH9Cz0tuDiY8C3ctxq1tqvaCgkFb8cCA/edit?usp=sharing"",""อุบลราชธานี!I346"")"),0)</f>
        <v>0</v>
      </c>
      <c r="J451" s="188">
        <f ca="1">IFERROR(__xludf.DUMMYFUNCTION("IMPORTRANGE(""https://docs.google.com/spreadsheets/d/1XL5vhW3sbDhbH9Cz0tuDiY8C3ctxq1tqvaCgkFb8cCA/edit?usp=sharing"",""อุบลราชธานี!J346"")"),0)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IFERROR(__xludf.DUMMYFUNCTION("IMPORTRANGE(""https://docs.google.com/spreadsheets/d/1XL5vhW3sbDhbH9Cz0tuDiY8C3ctxq1tqvaCgkFb8cCA/edit?usp=sharing"",""อุบลราชธานี!I347"")"),0)</f>
        <v>0</v>
      </c>
      <c r="J452" s="188">
        <f ca="1">IFERROR(__xludf.DUMMYFUNCTION("IMPORTRANGE(""https://docs.google.com/spreadsheets/d/1XL5vhW3sbDhbH9Cz0tuDiY8C3ctxq1tqvaCgkFb8cCA/edit?usp=sharing"",""อุบลราชธานี!J347"")"),0)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IFERROR(__xludf.DUMMYFUNCTION("IMPORTRANGE(""https://docs.google.com/spreadsheets/d/1XL5vhW3sbDhbH9Cz0tuDiY8C3ctxq1tqvaCgkFb8cCA/edit?usp=sharing"",""อุบลราชธานี!J348"")"),0)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IFERROR(__xludf.DUMMYFUNCTION("IMPORTRANGE(""https://docs.google.com/spreadsheets/d/1XL5vhW3sbDhbH9Cz0tuDiY8C3ctxq1tqvaCgkFb8cCA/edit?usp=sharing"",""อุบลราชธานี!J349"")"),0)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IFERROR(__xludf.DUMMYFUNCTION("IMPORTRANGE(""https://docs.google.com/spreadsheets/d/1XL5vhW3sbDhbH9Cz0tuDiY8C3ctxq1tqvaCgkFb8cCA/edit?usp=sharing"",""อุบลราชธานี!I350"")"),44577)</f>
        <v>44577</v>
      </c>
      <c r="J455" s="371">
        <f ca="1">IFERROR(__xludf.DUMMYFUNCTION("IMPORTRANGE(""https://docs.google.com/spreadsheets/d/1XL5vhW3sbDhbH9Cz0tuDiY8C3ctxq1tqvaCgkFb8cCA/edit?usp=sharing"",""อุบลราชธานี!J350"")"),44577)</f>
        <v>44577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IFERROR(__xludf.DUMMYFUNCTION("IMPORTRANGE(""https://docs.google.com/spreadsheets/d/1XL5vhW3sbDhbH9Cz0tuDiY8C3ctxq1tqvaCgkFb8cCA/edit?usp=sharing"",""อุบลราชธานี!L350"")"),519375)</f>
        <v>519375</v>
      </c>
      <c r="M455" s="373"/>
      <c r="N455" s="373">
        <f ca="1">IFERROR(__xludf.DUMMYFUNCTION("IMPORTRANGE(""https://docs.google.com/spreadsheets/d/1XL5vhW3sbDhbH9Cz0tuDiY8C3ctxq1tqvaCgkFb8cCA/edit?usp=sharing"",""อุบลราชธานี!M350"")"),119546)</f>
        <v>119546</v>
      </c>
      <c r="O455" s="373">
        <f t="shared" ref="O455:O459" ca="1" si="116">+IF(L455&gt;0,N455*100/L455,0)</f>
        <v>23.017280385078219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IFERROR(__xludf.DUMMYFUNCTION("IMPORTRANGE(""https://docs.google.com/spreadsheets/d/1XL5vhW3sbDhbH9Cz0tuDiY8C3ctxq1tqvaCgkFb8cCA/edit?usp=sharing"",""อุบลราชธานี!L351"")"),0)</f>
        <v>0</v>
      </c>
      <c r="M456" s="164"/>
      <c r="N456" s="169">
        <f ca="1">IFERROR(__xludf.DUMMYFUNCTION("IMPORTRANGE(""https://docs.google.com/spreadsheets/d/1XL5vhW3sbDhbH9Cz0tuDiY8C3ctxq1tqvaCgkFb8cCA/edit?usp=sharing"",""อุบลราชธานี!M351"")"),0)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IFERROR(__xludf.DUMMYFUNCTION("IMPORTRANGE(""https://docs.google.com/spreadsheets/d/1XL5vhW3sbDhbH9Cz0tuDiY8C3ctxq1tqvaCgkFb8cCA/edit?usp=sharing"",""อุบลราชธานี!L352"")"),519375)</f>
        <v>519375</v>
      </c>
      <c r="M457" s="165"/>
      <c r="N457" s="169">
        <f ca="1">IFERROR(__xludf.DUMMYFUNCTION("IMPORTRANGE(""https://docs.google.com/spreadsheets/d/1XL5vhW3sbDhbH9Cz0tuDiY8C3ctxq1tqvaCgkFb8cCA/edit?usp=sharing"",""อุบลราชธานี!M352"")"),119546)</f>
        <v>119546</v>
      </c>
      <c r="O457" s="169">
        <f t="shared" ca="1" si="116"/>
        <v>23.017280385078219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IFERROR(__xludf.DUMMYFUNCTION("IMPORTRANGE(""https://docs.google.com/spreadsheets/d/1XL5vhW3sbDhbH9Cz0tuDiY8C3ctxq1tqvaCgkFb8cCA/edit?usp=sharing"",""อุบลราชธานี!L353"")"),0)</f>
        <v>0</v>
      </c>
      <c r="M458" s="169"/>
      <c r="N458" s="169">
        <f ca="1">IFERROR(__xludf.DUMMYFUNCTION("IMPORTRANGE(""https://docs.google.com/spreadsheets/d/1XL5vhW3sbDhbH9Cz0tuDiY8C3ctxq1tqvaCgkFb8cCA/edit?usp=sharing"",""อุบลราชธานี!M353"")"),0)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IFERROR(__xludf.DUMMYFUNCTION("IMPORTRANGE(""https://docs.google.com/spreadsheets/d/1XL5vhW3sbDhbH9Cz0tuDiY8C3ctxq1tqvaCgkFb8cCA/edit?usp=sharing"",""อุบลราชธานี!L354"")"),519375)</f>
        <v>519375</v>
      </c>
      <c r="M459" s="169"/>
      <c r="N459" s="169">
        <f ca="1">IFERROR(__xludf.DUMMYFUNCTION("IMPORTRANGE(""https://docs.google.com/spreadsheets/d/1XL5vhW3sbDhbH9Cz0tuDiY8C3ctxq1tqvaCgkFb8cCA/edit?usp=sharing"",""อุบลราชธานี!M354"")"),119546)</f>
        <v>119546</v>
      </c>
      <c r="O459" s="169">
        <f t="shared" ca="1" si="116"/>
        <v>23.017280385078219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IFERROR(__xludf.DUMMYFUNCTION("IMPORTRANGE(""https://docs.google.com/spreadsheets/d/1XL5vhW3sbDhbH9Cz0tuDiY8C3ctxq1tqvaCgkFb8cCA/edit?usp=sharing"",""อุบลราชธานี!M355"")"),0)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IFERROR(__xludf.DUMMYFUNCTION("IMPORTRANGE(""https://docs.google.com/spreadsheets/d/1XL5vhW3sbDhbH9Cz0tuDiY8C3ctxq1tqvaCgkFb8cCA/edit?usp=sharing"",""อุบลราชธานี!M356"")"),0)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IFERROR(__xludf.DUMMYFUNCTION("IMPORTRANGE(""https://docs.google.com/spreadsheets/d/1XL5vhW3sbDhbH9Cz0tuDiY8C3ctxq1tqvaCgkFb8cCA/edit?usp=sharing"",""อุบลราชธานี!M357"")"),58334)</f>
        <v>58334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IFERROR(__xludf.DUMMYFUNCTION("IMPORTRANGE(""https://docs.google.com/spreadsheets/d/1XL5vhW3sbDhbH9Cz0tuDiY8C3ctxq1tqvaCgkFb8cCA/edit?usp=sharing"",""อุบลราชธานี!M358"")"),61212)</f>
        <v>61212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IFERROR(__xludf.DUMMYFUNCTION("IMPORTRANGE(""https://docs.google.com/spreadsheets/d/1XL5vhW3sbDhbH9Cz0tuDiY8C3ctxq1tqvaCgkFb8cCA/edit?usp=sharing"",""อุบลราชธานี!I359"")"),44577)</f>
        <v>44577</v>
      </c>
      <c r="J464" s="267">
        <f ca="1">IFERROR(__xludf.DUMMYFUNCTION("IMPORTRANGE(""https://docs.google.com/spreadsheets/d/1XL5vhW3sbDhbH9Cz0tuDiY8C3ctxq1tqvaCgkFb8cCA/edit?usp=sharing"",""อุบลราชธานี!J359"")"),44577)</f>
        <v>44577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IFERROR(__xludf.DUMMYFUNCTION("IMPORTRANGE(""https://docs.google.com/spreadsheets/d/1XL5vhW3sbDhbH9Cz0tuDiY8C3ctxq1tqvaCgkFb8cCA/edit?usp=sharing"",""อุบลราชธานี!I360"")"),44577)</f>
        <v>44577</v>
      </c>
      <c r="J465" s="420">
        <f ca="1">IFERROR(__xludf.DUMMYFUNCTION("IMPORTRANGE(""https://docs.google.com/spreadsheets/d/1XL5vhW3sbDhbH9Cz0tuDiY8C3ctxq1tqvaCgkFb8cCA/edit?usp=sharing"",""อุบลราชธานี!J360"")"),44577)</f>
        <v>44577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IFERROR(__xludf.DUMMYFUNCTION("IMPORTRANGE(""https://docs.google.com/spreadsheets/d/1XL5vhW3sbDhbH9Cz0tuDiY8C3ctxq1tqvaCgkFb8cCA/edit?usp=sharing"",""อุบลราชธานี!I361"")"),5816)</f>
        <v>5816</v>
      </c>
      <c r="J466" s="420">
        <f ca="1">IFERROR(__xludf.DUMMYFUNCTION("IMPORTRANGE(""https://docs.google.com/spreadsheets/d/1XL5vhW3sbDhbH9Cz0tuDiY8C3ctxq1tqvaCgkFb8cCA/edit?usp=sharing"",""อุบลราชธานี!J361"")"),5816)</f>
        <v>5816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IFERROR(__xludf.DUMMYFUNCTION("IMPORTRANGE(""https://docs.google.com/spreadsheets/d/1XL5vhW3sbDhbH9Cz0tuDiY8C3ctxq1tqvaCgkFb8cCA/edit?usp=sharing"",""อุบลราชธานี!I362"")"),0)</f>
        <v>0</v>
      </c>
      <c r="J467" s="189">
        <f ca="1">IFERROR(__xludf.DUMMYFUNCTION("IMPORTRANGE(""https://docs.google.com/spreadsheets/d/1XL5vhW3sbDhbH9Cz0tuDiY8C3ctxq1tqvaCgkFb8cCA/edit?usp=sharing"",""อุบลราชธานี!J362"")"),40285)</f>
        <v>40285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IFERROR(__xludf.DUMMYFUNCTION("IMPORTRANGE(""https://docs.google.com/spreadsheets/d/1XL5vhW3sbDhbH9Cz0tuDiY8C3ctxq1tqvaCgkFb8cCA/edit?usp=sharing"",""อุบลราชธานี!I363"")"),0)</f>
        <v>0</v>
      </c>
      <c r="J468" s="189">
        <f ca="1">IFERROR(__xludf.DUMMYFUNCTION("IMPORTRANGE(""https://docs.google.com/spreadsheets/d/1XL5vhW3sbDhbH9Cz0tuDiY8C3ctxq1tqvaCgkFb8cCA/edit?usp=sharing"",""อุบลราชธานี!J363"")"),5413)</f>
        <v>5413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IFERROR(__xludf.DUMMYFUNCTION("IMPORTRANGE(""https://docs.google.com/spreadsheets/d/1XL5vhW3sbDhbH9Cz0tuDiY8C3ctxq1tqvaCgkFb8cCA/edit?usp=sharing"",""อุบลราชธานี!I364"")"),0)</f>
        <v>0</v>
      </c>
      <c r="J469" s="189">
        <f ca="1">IFERROR(__xludf.DUMMYFUNCTION("IMPORTRANGE(""https://docs.google.com/spreadsheets/d/1XL5vhW3sbDhbH9Cz0tuDiY8C3ctxq1tqvaCgkFb8cCA/edit?usp=sharing"",""อุบลราชธานี!J364"")"),3122)</f>
        <v>3122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IFERROR(__xludf.DUMMYFUNCTION("IMPORTRANGE(""https://docs.google.com/spreadsheets/d/1XL5vhW3sbDhbH9Cz0tuDiY8C3ctxq1tqvaCgkFb8cCA/edit?usp=sharing"",""อุบลราชธานี!I365"")"),0)</f>
        <v>0</v>
      </c>
      <c r="J470" s="189">
        <f ca="1">IFERROR(__xludf.DUMMYFUNCTION("IMPORTRANGE(""https://docs.google.com/spreadsheets/d/1XL5vhW3sbDhbH9Cz0tuDiY8C3ctxq1tqvaCgkFb8cCA/edit?usp=sharing"",""อุบลราชธานี!J365"")"),287)</f>
        <v>287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IFERROR(__xludf.DUMMYFUNCTION("IMPORTRANGE(""https://docs.google.com/spreadsheets/d/1XL5vhW3sbDhbH9Cz0tuDiY8C3ctxq1tqvaCgkFb8cCA/edit?usp=sharing"",""อุบลราชธานี!I366"")"),0)</f>
        <v>0</v>
      </c>
      <c r="J471" s="189">
        <f ca="1">IFERROR(__xludf.DUMMYFUNCTION("IMPORTRANGE(""https://docs.google.com/spreadsheets/d/1XL5vhW3sbDhbH9Cz0tuDiY8C3ctxq1tqvaCgkFb8cCA/edit?usp=sharing"",""อุบลราชธานี!J366"")"),1170)</f>
        <v>1170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IFERROR(__xludf.DUMMYFUNCTION("IMPORTRANGE(""https://docs.google.com/spreadsheets/d/1XL5vhW3sbDhbH9Cz0tuDiY8C3ctxq1tqvaCgkFb8cCA/edit?usp=sharing"",""อุบลราชธานี!I367"")"),0)</f>
        <v>0</v>
      </c>
      <c r="J472" s="189">
        <f ca="1">IFERROR(__xludf.DUMMYFUNCTION("IMPORTRANGE(""https://docs.google.com/spreadsheets/d/1XL5vhW3sbDhbH9Cz0tuDiY8C3ctxq1tqvaCgkFb8cCA/edit?usp=sharing"",""อุบลราชธานี!J367"")"),116)</f>
        <v>116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IFERROR(__xludf.DUMMYFUNCTION("IMPORTRANGE(""https://docs.google.com/spreadsheets/d/1XL5vhW3sbDhbH9Cz0tuDiY8C3ctxq1tqvaCgkFb8cCA/edit?usp=sharing"",""อุบลราชธานี!I368"")"),44577)</f>
        <v>44577</v>
      </c>
      <c r="J473" s="420">
        <f ca="1">IFERROR(__xludf.DUMMYFUNCTION("IMPORTRANGE(""https://docs.google.com/spreadsheets/d/1XL5vhW3sbDhbH9Cz0tuDiY8C3ctxq1tqvaCgkFb8cCA/edit?usp=sharing"",""อุบลราชธานี!J368"")"),44577)</f>
        <v>44577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IFERROR(__xludf.DUMMYFUNCTION("IMPORTRANGE(""https://docs.google.com/spreadsheets/d/1XL5vhW3sbDhbH9Cz0tuDiY8C3ctxq1tqvaCgkFb8cCA/edit?usp=sharing"",""อุบลราชธานี!I369"")"),5816)</f>
        <v>5816</v>
      </c>
      <c r="J474" s="420">
        <f ca="1">IFERROR(__xludf.DUMMYFUNCTION("IMPORTRANGE(""https://docs.google.com/spreadsheets/d/1XL5vhW3sbDhbH9Cz0tuDiY8C3ctxq1tqvaCgkFb8cCA/edit?usp=sharing"",""อุบลราชธานี!J369"")"),5816)</f>
        <v>5816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IFERROR(__xludf.DUMMYFUNCTION("IMPORTRANGE(""https://docs.google.com/spreadsheets/d/1XL5vhW3sbDhbH9Cz0tuDiY8C3ctxq1tqvaCgkFb8cCA/edit?usp=sharing"",""อุบลราชธานี!I370"")"),0)</f>
        <v>0</v>
      </c>
      <c r="J475" s="189">
        <f ca="1">IFERROR(__xludf.DUMMYFUNCTION("IMPORTRANGE(""https://docs.google.com/spreadsheets/d/1XL5vhW3sbDhbH9Cz0tuDiY8C3ctxq1tqvaCgkFb8cCA/edit?usp=sharing"",""อุบลราชธานี!J370"")"),41880)</f>
        <v>41880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IFERROR(__xludf.DUMMYFUNCTION("IMPORTRANGE(""https://docs.google.com/spreadsheets/d/1XL5vhW3sbDhbH9Cz0tuDiY8C3ctxq1tqvaCgkFb8cCA/edit?usp=sharing"",""อุบลราชธานี!I371"")"),0)</f>
        <v>0</v>
      </c>
      <c r="J476" s="189">
        <f ca="1">IFERROR(__xludf.DUMMYFUNCTION("IMPORTRANGE(""https://docs.google.com/spreadsheets/d/1XL5vhW3sbDhbH9Cz0tuDiY8C3ctxq1tqvaCgkFb8cCA/edit?usp=sharing"",""อุบลราชธานี!J371"")"),5577)</f>
        <v>5577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IFERROR(__xludf.DUMMYFUNCTION("IMPORTRANGE(""https://docs.google.com/spreadsheets/d/1XL5vhW3sbDhbH9Cz0tuDiY8C3ctxq1tqvaCgkFb8cCA/edit?usp=sharing"",""อุบลราชธานี!I372"")"),0)</f>
        <v>0</v>
      </c>
      <c r="J477" s="189">
        <f ca="1">IFERROR(__xludf.DUMMYFUNCTION("IMPORTRANGE(""https://docs.google.com/spreadsheets/d/1XL5vhW3sbDhbH9Cz0tuDiY8C3ctxq1tqvaCgkFb8cCA/edit?usp=sharing"",""อุบลราชธานี!J372"")"),1375)</f>
        <v>1375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IFERROR(__xludf.DUMMYFUNCTION("IMPORTRANGE(""https://docs.google.com/spreadsheets/d/1XL5vhW3sbDhbH9Cz0tuDiY8C3ctxq1tqvaCgkFb8cCA/edit?usp=sharing"",""อุบลราชธานี!I373"")"),0)</f>
        <v>0</v>
      </c>
      <c r="J478" s="189">
        <f ca="1">IFERROR(__xludf.DUMMYFUNCTION("IMPORTRANGE(""https://docs.google.com/spreadsheets/d/1XL5vhW3sbDhbH9Cz0tuDiY8C3ctxq1tqvaCgkFb8cCA/edit?usp=sharing"",""อุบลราชธานี!J373"")"),110)</f>
        <v>110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IFERROR(__xludf.DUMMYFUNCTION("IMPORTRANGE(""https://docs.google.com/spreadsheets/d/1XL5vhW3sbDhbH9Cz0tuDiY8C3ctxq1tqvaCgkFb8cCA/edit?usp=sharing"",""อุบลราชธานี!I374"")"),0)</f>
        <v>0</v>
      </c>
      <c r="J479" s="189">
        <f ca="1">IFERROR(__xludf.DUMMYFUNCTION("IMPORTRANGE(""https://docs.google.com/spreadsheets/d/1XL5vhW3sbDhbH9Cz0tuDiY8C3ctxq1tqvaCgkFb8cCA/edit?usp=sharing"",""อุบลราชธานี!J374"")"),1322)</f>
        <v>1322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IFERROR(__xludf.DUMMYFUNCTION("IMPORTRANGE(""https://docs.google.com/spreadsheets/d/1XL5vhW3sbDhbH9Cz0tuDiY8C3ctxq1tqvaCgkFb8cCA/edit?usp=sharing"",""อุบลราชธานี!I375"")"),0)</f>
        <v>0</v>
      </c>
      <c r="J480" s="189">
        <f ca="1">IFERROR(__xludf.DUMMYFUNCTION("IMPORTRANGE(""https://docs.google.com/spreadsheets/d/1XL5vhW3sbDhbH9Cz0tuDiY8C3ctxq1tqvaCgkFb8cCA/edit?usp=sharing"",""อุบลราชธานี!J375"")"),129)</f>
        <v>129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IFERROR(__xludf.DUMMYFUNCTION("IMPORTRANGE(""https://docs.google.com/spreadsheets/d/1XL5vhW3sbDhbH9Cz0tuDiY8C3ctxq1tqvaCgkFb8cCA/edit?usp=sharing"",""อุบลราชธานี!I376"")"),44577)</f>
        <v>44577</v>
      </c>
      <c r="J481" s="420">
        <f ca="1">IFERROR(__xludf.DUMMYFUNCTION("IMPORTRANGE(""https://docs.google.com/spreadsheets/d/1XL5vhW3sbDhbH9Cz0tuDiY8C3ctxq1tqvaCgkFb8cCA/edit?usp=sharing"",""อุบลราชธานี!J376"")"),44577)</f>
        <v>44577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IFERROR(__xludf.DUMMYFUNCTION("IMPORTRANGE(""https://docs.google.com/spreadsheets/d/1XL5vhW3sbDhbH9Cz0tuDiY8C3ctxq1tqvaCgkFb8cCA/edit?usp=sharing"",""อุบลราชธานี!I377"")"),5816)</f>
        <v>5816</v>
      </c>
      <c r="J482" s="420">
        <f ca="1">IFERROR(__xludf.DUMMYFUNCTION("IMPORTRANGE(""https://docs.google.com/spreadsheets/d/1XL5vhW3sbDhbH9Cz0tuDiY8C3ctxq1tqvaCgkFb8cCA/edit?usp=sharing"",""อุบลราชธานี!J377"")"),5816)</f>
        <v>5816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IFERROR(__xludf.DUMMYFUNCTION("IMPORTRANGE(""https://docs.google.com/spreadsheets/d/1XL5vhW3sbDhbH9Cz0tuDiY8C3ctxq1tqvaCgkFb8cCA/edit?usp=sharing"",""อุบลราชธานี!I378"")"),0)</f>
        <v>0</v>
      </c>
      <c r="J483" s="189">
        <f ca="1">IFERROR(__xludf.DUMMYFUNCTION("IMPORTRANGE(""https://docs.google.com/spreadsheets/d/1XL5vhW3sbDhbH9Cz0tuDiY8C3ctxq1tqvaCgkFb8cCA/edit?usp=sharing"",""อุบลราชธานี!J378"")"),41880)</f>
        <v>41880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IFERROR(__xludf.DUMMYFUNCTION("IMPORTRANGE(""https://docs.google.com/spreadsheets/d/1XL5vhW3sbDhbH9Cz0tuDiY8C3ctxq1tqvaCgkFb8cCA/edit?usp=sharing"",""อุบลราชธานี!I379"")"),0)</f>
        <v>0</v>
      </c>
      <c r="J484" s="189">
        <f ca="1">IFERROR(__xludf.DUMMYFUNCTION("IMPORTRANGE(""https://docs.google.com/spreadsheets/d/1XL5vhW3sbDhbH9Cz0tuDiY8C3ctxq1tqvaCgkFb8cCA/edit?usp=sharing"",""อุบลราชธานี!J379"")"),5577)</f>
        <v>5577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IFERROR(__xludf.DUMMYFUNCTION("IMPORTRANGE(""https://docs.google.com/spreadsheets/d/1XL5vhW3sbDhbH9Cz0tuDiY8C3ctxq1tqvaCgkFb8cCA/edit?usp=sharing"",""อุบลราชธานี!I380"")"),0)</f>
        <v>0</v>
      </c>
      <c r="J485" s="189">
        <f ca="1">IFERROR(__xludf.DUMMYFUNCTION("IMPORTRANGE(""https://docs.google.com/spreadsheets/d/1XL5vhW3sbDhbH9Cz0tuDiY8C3ctxq1tqvaCgkFb8cCA/edit?usp=sharing"",""อุบลราชธานี!J380"")"),1375)</f>
        <v>1375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IFERROR(__xludf.DUMMYFUNCTION("IMPORTRANGE(""https://docs.google.com/spreadsheets/d/1XL5vhW3sbDhbH9Cz0tuDiY8C3ctxq1tqvaCgkFb8cCA/edit?usp=sharing"",""อุบลราชธานี!I381"")"),0)</f>
        <v>0</v>
      </c>
      <c r="J486" s="189">
        <f ca="1">IFERROR(__xludf.DUMMYFUNCTION("IMPORTRANGE(""https://docs.google.com/spreadsheets/d/1XL5vhW3sbDhbH9Cz0tuDiY8C3ctxq1tqvaCgkFb8cCA/edit?usp=sharing"",""อุบลราชธานี!J381"")"),110)</f>
        <v>110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IFERROR(__xludf.DUMMYFUNCTION("IMPORTRANGE(""https://docs.google.com/spreadsheets/d/1XL5vhW3sbDhbH9Cz0tuDiY8C3ctxq1tqvaCgkFb8cCA/edit?usp=sharing"",""อุบลราชธานี!I382"")"),0)</f>
        <v>0</v>
      </c>
      <c r="J487" s="420">
        <f ca="1">IFERROR(__xludf.DUMMYFUNCTION("IMPORTRANGE(""https://docs.google.com/spreadsheets/d/1XL5vhW3sbDhbH9Cz0tuDiY8C3ctxq1tqvaCgkFb8cCA/edit?usp=sharing"",""อุบลราชธานี!J382"")"),1322)</f>
        <v>1322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IFERROR(__xludf.DUMMYFUNCTION("IMPORTRANGE(""https://docs.google.com/spreadsheets/d/1XL5vhW3sbDhbH9Cz0tuDiY8C3ctxq1tqvaCgkFb8cCA/edit?usp=sharing"",""อุบลราชธานี!I383"")"),0)</f>
        <v>0</v>
      </c>
      <c r="J488" s="420">
        <f ca="1">IFERROR(__xludf.DUMMYFUNCTION("IMPORTRANGE(""https://docs.google.com/spreadsheets/d/1XL5vhW3sbDhbH9Cz0tuDiY8C3ctxq1tqvaCgkFb8cCA/edit?usp=sharing"",""อุบลราชธานี!J383"")"),129)</f>
        <v>129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IFERROR(__xludf.DUMMYFUNCTION("IMPORTRANGE(""https://docs.google.com/spreadsheets/d/1XL5vhW3sbDhbH9Cz0tuDiY8C3ctxq1tqvaCgkFb8cCA/edit?usp=sharing"",""อุบลราชธานี!I384"")"),0)</f>
        <v>0</v>
      </c>
      <c r="J489" s="189">
        <f ca="1">IFERROR(__xludf.DUMMYFUNCTION("IMPORTRANGE(""https://docs.google.com/spreadsheets/d/1XL5vhW3sbDhbH9Cz0tuDiY8C3ctxq1tqvaCgkFb8cCA/edit?usp=sharing"",""อุบลราชธานี!J384"")"),1322)</f>
        <v>1322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IFERROR(__xludf.DUMMYFUNCTION("IMPORTRANGE(""https://docs.google.com/spreadsheets/d/1XL5vhW3sbDhbH9Cz0tuDiY8C3ctxq1tqvaCgkFb8cCA/edit?usp=sharing"",""อุบลราชธานี!I385"")"),0)</f>
        <v>0</v>
      </c>
      <c r="J490" s="189">
        <f ca="1">IFERROR(__xludf.DUMMYFUNCTION("IMPORTRANGE(""https://docs.google.com/spreadsheets/d/1XL5vhW3sbDhbH9Cz0tuDiY8C3ctxq1tqvaCgkFb8cCA/edit?usp=sharing"",""อุบลราชธานี!J385"")"),129)</f>
        <v>129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IFERROR(__xludf.DUMMYFUNCTION("IMPORTRANGE(""https://docs.google.com/spreadsheets/d/1XL5vhW3sbDhbH9Cz0tuDiY8C3ctxq1tqvaCgkFb8cCA/edit?usp=sharing"",""อุบลราชธานี!I386"")"),0)</f>
        <v>0</v>
      </c>
      <c r="J491" s="189">
        <f ca="1">IFERROR(__xludf.DUMMYFUNCTION("IMPORTRANGE(""https://docs.google.com/spreadsheets/d/1XL5vhW3sbDhbH9Cz0tuDiY8C3ctxq1tqvaCgkFb8cCA/edit?usp=sharing"",""อุบลราชธานี!J386"")"),0)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IFERROR(__xludf.DUMMYFUNCTION("IMPORTRANGE(""https://docs.google.com/spreadsheets/d/1XL5vhW3sbDhbH9Cz0tuDiY8C3ctxq1tqvaCgkFb8cCA/edit?usp=sharing"",""อุบลราชธานี!I387"")"),0)</f>
        <v>0</v>
      </c>
      <c r="J492" s="189">
        <f ca="1">IFERROR(__xludf.DUMMYFUNCTION("IMPORTRANGE(""https://docs.google.com/spreadsheets/d/1XL5vhW3sbDhbH9Cz0tuDiY8C3ctxq1tqvaCgkFb8cCA/edit?usp=sharing"",""อุบลราชธานี!J387"")"),0)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IFERROR(__xludf.DUMMYFUNCTION("IMPORTRANGE(""https://docs.google.com/spreadsheets/d/1XL5vhW3sbDhbH9Cz0tuDiY8C3ctxq1tqvaCgkFb8cCA/edit?usp=sharing"",""อุบลราชธานี!I388"")"),0)</f>
        <v>0</v>
      </c>
      <c r="J493" s="189">
        <f ca="1">IFERROR(__xludf.DUMMYFUNCTION("IMPORTRANGE(""https://docs.google.com/spreadsheets/d/1XL5vhW3sbDhbH9Cz0tuDiY8C3ctxq1tqvaCgkFb8cCA/edit?usp=sharing"",""อุบลราชธานี!J388"")"),0)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IFERROR(__xludf.DUMMYFUNCTION("IMPORTRANGE(""https://docs.google.com/spreadsheets/d/1XL5vhW3sbDhbH9Cz0tuDiY8C3ctxq1tqvaCgkFb8cCA/edit?usp=sharing"",""อุบลราชธานี!I389"")"),0)</f>
        <v>0</v>
      </c>
      <c r="J494" s="436">
        <f ca="1">IFERROR(__xludf.DUMMYFUNCTION("IMPORTRANGE(""https://docs.google.com/spreadsheets/d/1XL5vhW3sbDhbH9Cz0tuDiY8C3ctxq1tqvaCgkFb8cCA/edit?usp=sharing"",""อุบลราชธานี!J389"")"),0)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IFERROR(__xludf.DUMMYFUNCTION("IMPORTRANGE(""https://docs.google.com/spreadsheets/d/1XL5vhW3sbDhbH9Cz0tuDiY8C3ctxq1tqvaCgkFb8cCA/edit?usp=sharing"",""อุบลราชธานี!I390"")"),0)</f>
        <v>0</v>
      </c>
      <c r="J495" s="436">
        <f ca="1">IFERROR(__xludf.DUMMYFUNCTION("IMPORTRANGE(""https://docs.google.com/spreadsheets/d/1XL5vhW3sbDhbH9Cz0tuDiY8C3ctxq1tqvaCgkFb8cCA/edit?usp=sharing"",""อุบลราชธานี!J390"")"),0)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IFERROR(__xludf.DUMMYFUNCTION("IMPORTRANGE(""https://docs.google.com/spreadsheets/d/1XL5vhW3sbDhbH9Cz0tuDiY8C3ctxq1tqvaCgkFb8cCA/edit?usp=sharing"",""อุบลราชธานี!I391"")"),0)</f>
        <v>0</v>
      </c>
      <c r="J496" s="436">
        <f ca="1">IFERROR(__xludf.DUMMYFUNCTION("IMPORTRANGE(""https://docs.google.com/spreadsheets/d/1XL5vhW3sbDhbH9Cz0tuDiY8C3ctxq1tqvaCgkFb8cCA/edit?usp=sharing"",""อุบลราชธานี!J391"")"),0)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IFERROR(__xludf.DUMMYFUNCTION("IMPORTRANGE(""https://docs.google.com/spreadsheets/d/1XL5vhW3sbDhbH9Cz0tuDiY8C3ctxq1tqvaCgkFb8cCA/edit?usp=sharing"",""อุบลราชธานี!I392"")"),1367)</f>
        <v>1367</v>
      </c>
      <c r="J497" s="443">
        <f ca="1">IFERROR(__xludf.DUMMYFUNCTION("IMPORTRANGE(""https://docs.google.com/spreadsheets/d/1XL5vhW3sbDhbH9Cz0tuDiY8C3ctxq1tqvaCgkFb8cCA/edit?usp=sharing"",""อุบลราชธานี!J392"")"),82)</f>
        <v>82</v>
      </c>
      <c r="K497" s="444">
        <f t="shared" ca="1" si="117"/>
        <v>5.998536942209217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IFERROR(__xludf.DUMMYFUNCTION("IMPORTRANGE(""https://docs.google.com/spreadsheets/d/1XL5vhW3sbDhbH9Cz0tuDiY8C3ctxq1tqvaCgkFb8cCA/edit?usp=sharing"",""อุบลราชธานี!I393"")"),1367)</f>
        <v>1367</v>
      </c>
      <c r="J498" s="420">
        <f ca="1">IFERROR(__xludf.DUMMYFUNCTION("IMPORTRANGE(""https://docs.google.com/spreadsheets/d/1XL5vhW3sbDhbH9Cz0tuDiY8C3ctxq1tqvaCgkFb8cCA/edit?usp=sharing"",""อุบลราชธานี!J393"")"),82)</f>
        <v>82</v>
      </c>
      <c r="K498" s="202">
        <f t="shared" ca="1" si="117"/>
        <v>5.998536942209217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IFERROR(__xludf.DUMMYFUNCTION("IMPORTRANGE(""https://docs.google.com/spreadsheets/d/1XL5vhW3sbDhbH9Cz0tuDiY8C3ctxq1tqvaCgkFb8cCA/edit?usp=sharing"",""อุบลราชธานี!I394"")"),279)</f>
        <v>279</v>
      </c>
      <c r="J499" s="420">
        <f ca="1">IFERROR(__xludf.DUMMYFUNCTION("IMPORTRANGE(""https://docs.google.com/spreadsheets/d/1XL5vhW3sbDhbH9Cz0tuDiY8C3ctxq1tqvaCgkFb8cCA/edit?usp=sharing"",""อุบลราชธานี!J394"")"),21)</f>
        <v>21</v>
      </c>
      <c r="K499" s="202">
        <f t="shared" ca="1" si="117"/>
        <v>7.5268817204301079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IFERROR(__xludf.DUMMYFUNCTION("IMPORTRANGE(""https://docs.google.com/spreadsheets/d/1XL5vhW3sbDhbH9Cz0tuDiY8C3ctxq1tqvaCgkFb8cCA/edit?usp=sharing"",""อุบลราชธานี!I395"")"),0)</f>
        <v>0</v>
      </c>
      <c r="J500" s="162">
        <f ca="1">IFERROR(__xludf.DUMMYFUNCTION("IMPORTRANGE(""https://docs.google.com/spreadsheets/d/1XL5vhW3sbDhbH9Cz0tuDiY8C3ctxq1tqvaCgkFb8cCA/edit?usp=sharing"",""อุบลราชธานี!J395"")"),82)</f>
        <v>82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IFERROR(__xludf.DUMMYFUNCTION("IMPORTRANGE(""https://docs.google.com/spreadsheets/d/1XL5vhW3sbDhbH9Cz0tuDiY8C3ctxq1tqvaCgkFb8cCA/edit?usp=sharing"",""อุบลราชธานี!I396"")"),0)</f>
        <v>0</v>
      </c>
      <c r="J501" s="162">
        <f ca="1">IFERROR(__xludf.DUMMYFUNCTION("IMPORTRANGE(""https://docs.google.com/spreadsheets/d/1XL5vhW3sbDhbH9Cz0tuDiY8C3ctxq1tqvaCgkFb8cCA/edit?usp=sharing"",""อุบลราชธานี!J396"")"),21)</f>
        <v>21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IFERROR(__xludf.DUMMYFUNCTION("IMPORTRANGE(""https://docs.google.com/spreadsheets/d/1XL5vhW3sbDhbH9Cz0tuDiY8C3ctxq1tqvaCgkFb8cCA/edit?usp=sharing"",""อุบลราชธานี!I397"")"),0)</f>
        <v>0</v>
      </c>
      <c r="J502" s="189">
        <f ca="1">IFERROR(__xludf.DUMMYFUNCTION("IMPORTRANGE(""https://docs.google.com/spreadsheets/d/1XL5vhW3sbDhbH9Cz0tuDiY8C3ctxq1tqvaCgkFb8cCA/edit?usp=sharing"",""อุบลราชธานี!J397"")"),82)</f>
        <v>82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IFERROR(__xludf.DUMMYFUNCTION("IMPORTRANGE(""https://docs.google.com/spreadsheets/d/1XL5vhW3sbDhbH9Cz0tuDiY8C3ctxq1tqvaCgkFb8cCA/edit?usp=sharing"",""อุบลราชธานี!I398"")"),0)</f>
        <v>0</v>
      </c>
      <c r="J503" s="198">
        <f ca="1">IFERROR(__xludf.DUMMYFUNCTION("IMPORTRANGE(""https://docs.google.com/spreadsheets/d/1XL5vhW3sbDhbH9Cz0tuDiY8C3ctxq1tqvaCgkFb8cCA/edit?usp=sharing"",""อุบลราชธานี!J398"")"),21)</f>
        <v>21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IFERROR(__xludf.DUMMYFUNCTION("IMPORTRANGE(""https://docs.google.com/spreadsheets/d/1XL5vhW3sbDhbH9Cz0tuDiY8C3ctxq1tqvaCgkFb8cCA/edit?usp=sharing"",""อุบลราชธานี!I399"")"),0)</f>
        <v>0</v>
      </c>
      <c r="J504" s="189">
        <f ca="1">IFERROR(__xludf.DUMMYFUNCTION("IMPORTRANGE(""https://docs.google.com/spreadsheets/d/1XL5vhW3sbDhbH9Cz0tuDiY8C3ctxq1tqvaCgkFb8cCA/edit?usp=sharing"",""อุบลราชธานี!J399"")"),0)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IFERROR(__xludf.DUMMYFUNCTION("IMPORTRANGE(""https://docs.google.com/spreadsheets/d/1XL5vhW3sbDhbH9Cz0tuDiY8C3ctxq1tqvaCgkFb8cCA/edit?usp=sharing"",""อุบลราชธานี!I400"")"),0)</f>
        <v>0</v>
      </c>
      <c r="J505" s="198">
        <f ca="1">IFERROR(__xludf.DUMMYFUNCTION("IMPORTRANGE(""https://docs.google.com/spreadsheets/d/1XL5vhW3sbDhbH9Cz0tuDiY8C3ctxq1tqvaCgkFb8cCA/edit?usp=sharing"",""อุบลราชธานี!J400"")"),0)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IFERROR(__xludf.DUMMYFUNCTION("IMPORTRANGE(""https://docs.google.com/spreadsheets/d/1XL5vhW3sbDhbH9Cz0tuDiY8C3ctxq1tqvaCgkFb8cCA/edit?usp=sharing"",""อุบลราชธานี!I401"")"),0)</f>
        <v>0</v>
      </c>
      <c r="J506" s="189">
        <f ca="1">IFERROR(__xludf.DUMMYFUNCTION("IMPORTRANGE(""https://docs.google.com/spreadsheets/d/1XL5vhW3sbDhbH9Cz0tuDiY8C3ctxq1tqvaCgkFb8cCA/edit?usp=sharing"",""อุบลราชธานี!J401"")"),0)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IFERROR(__xludf.DUMMYFUNCTION("IMPORTRANGE(""https://docs.google.com/spreadsheets/d/1XL5vhW3sbDhbH9Cz0tuDiY8C3ctxq1tqvaCgkFb8cCA/edit?usp=sharing"",""อุบลราชธานี!I402"")"),0)</f>
        <v>0</v>
      </c>
      <c r="J507" s="198">
        <f ca="1">IFERROR(__xludf.DUMMYFUNCTION("IMPORTRANGE(""https://docs.google.com/spreadsheets/d/1XL5vhW3sbDhbH9Cz0tuDiY8C3ctxq1tqvaCgkFb8cCA/edit?usp=sharing"",""อุบลราชธานี!J402"")"),0)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IFERROR(__xludf.DUMMYFUNCTION("IMPORTRANGE(""https://docs.google.com/spreadsheets/d/1XL5vhW3sbDhbH9Cz0tuDiY8C3ctxq1tqvaCgkFb8cCA/edit?usp=sharing"",""อุบลราชธานี!I403"")"),0)</f>
        <v>0</v>
      </c>
      <c r="J508" s="162">
        <f ca="1">IFERROR(__xludf.DUMMYFUNCTION("IMPORTRANGE(""https://docs.google.com/spreadsheets/d/1XL5vhW3sbDhbH9Cz0tuDiY8C3ctxq1tqvaCgkFb8cCA/edit?usp=sharing"",""อุบลราชธานี!J403"")"),0)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IFERROR(__xludf.DUMMYFUNCTION("IMPORTRANGE(""https://docs.google.com/spreadsheets/d/1XL5vhW3sbDhbH9Cz0tuDiY8C3ctxq1tqvaCgkFb8cCA/edit?usp=sharing"",""อุบลราชธานี!I404"")"),0)</f>
        <v>0</v>
      </c>
      <c r="J509" s="162">
        <f ca="1">IFERROR(__xludf.DUMMYFUNCTION("IMPORTRANGE(""https://docs.google.com/spreadsheets/d/1XL5vhW3sbDhbH9Cz0tuDiY8C3ctxq1tqvaCgkFb8cCA/edit?usp=sharing"",""อุบลราชธานี!J404"")"),0)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IFERROR(__xludf.DUMMYFUNCTION("IMPORTRANGE(""https://docs.google.com/spreadsheets/d/1XL5vhW3sbDhbH9Cz0tuDiY8C3ctxq1tqvaCgkFb8cCA/edit?usp=sharing"",""อุบลราชธานี!I405"")"),0)</f>
        <v>0</v>
      </c>
      <c r="J510" s="198">
        <f ca="1">IFERROR(__xludf.DUMMYFUNCTION("IMPORTRANGE(""https://docs.google.com/spreadsheets/d/1XL5vhW3sbDhbH9Cz0tuDiY8C3ctxq1tqvaCgkFb8cCA/edit?usp=sharing"",""อุบลราชธานี!J405"")"),0)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IFERROR(__xludf.DUMMYFUNCTION("IMPORTRANGE(""https://docs.google.com/spreadsheets/d/1XL5vhW3sbDhbH9Cz0tuDiY8C3ctxq1tqvaCgkFb8cCA/edit?usp=sharing"",""อุบลราชธานี!I406"")"),0)</f>
        <v>0</v>
      </c>
      <c r="J511" s="198">
        <f ca="1">IFERROR(__xludf.DUMMYFUNCTION("IMPORTRANGE(""https://docs.google.com/spreadsheets/d/1XL5vhW3sbDhbH9Cz0tuDiY8C3ctxq1tqvaCgkFb8cCA/edit?usp=sharing"",""อุบลราชธานี!J406"")"),0)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IFERROR(__xludf.DUMMYFUNCTION("IMPORTRANGE(""https://docs.google.com/spreadsheets/d/1XL5vhW3sbDhbH9Cz0tuDiY8C3ctxq1tqvaCgkFb8cCA/edit?usp=sharing"",""อุบลราชธานี!I407"")"),0)</f>
        <v>0</v>
      </c>
      <c r="J512" s="198">
        <f ca="1">IFERROR(__xludf.DUMMYFUNCTION("IMPORTRANGE(""https://docs.google.com/spreadsheets/d/1XL5vhW3sbDhbH9Cz0tuDiY8C3ctxq1tqvaCgkFb8cCA/edit?usp=sharing"",""อุบลราชธานี!J407"")"),0)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IFERROR(__xludf.DUMMYFUNCTION("IMPORTRANGE(""https://docs.google.com/spreadsheets/d/1XL5vhW3sbDhbH9Cz0tuDiY8C3ctxq1tqvaCgkFb8cCA/edit?usp=sharing"",""อุบลราชธานี!I408"")"),0)</f>
        <v>0</v>
      </c>
      <c r="J513" s="198">
        <f ca="1">IFERROR(__xludf.DUMMYFUNCTION("IMPORTRANGE(""https://docs.google.com/spreadsheets/d/1XL5vhW3sbDhbH9Cz0tuDiY8C3ctxq1tqvaCgkFb8cCA/edit?usp=sharing"",""อุบลราชธานี!J408"")"),0)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IFERROR(__xludf.DUMMYFUNCTION("IMPORTRANGE(""https://docs.google.com/spreadsheets/d/1XL5vhW3sbDhbH9Cz0tuDiY8C3ctxq1tqvaCgkFb8cCA/edit?usp=sharing"",""อุบลราชธานี!I409"")"),0)</f>
        <v>0</v>
      </c>
      <c r="J514" s="198">
        <f ca="1">IFERROR(__xludf.DUMMYFUNCTION("IMPORTRANGE(""https://docs.google.com/spreadsheets/d/1XL5vhW3sbDhbH9Cz0tuDiY8C3ctxq1tqvaCgkFb8cCA/edit?usp=sharing"",""อุบลราชธานี!J409"")"),0)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IFERROR(__xludf.DUMMYFUNCTION("IMPORTRANGE(""https://docs.google.com/spreadsheets/d/1XL5vhW3sbDhbH9Cz0tuDiY8C3ctxq1tqvaCgkFb8cCA/edit?usp=sharing"",""อุบลราชธานี!I410"")"),0)</f>
        <v>0</v>
      </c>
      <c r="J515" s="198">
        <f ca="1">IFERROR(__xludf.DUMMYFUNCTION("IMPORTRANGE(""https://docs.google.com/spreadsheets/d/1XL5vhW3sbDhbH9Cz0tuDiY8C3ctxq1tqvaCgkFb8cCA/edit?usp=sharing"",""อุบลราชธานี!J410"")"),0)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IFERROR(__xludf.DUMMYFUNCTION("IMPORTRANGE(""https://docs.google.com/spreadsheets/d/1XL5vhW3sbDhbH9Cz0tuDiY8C3ctxq1tqvaCgkFb8cCA/edit?usp=sharing"",""อุบลราชธานี!I411"")"),0)</f>
        <v>0</v>
      </c>
      <c r="J516" s="267">
        <f ca="1">IFERROR(__xludf.DUMMYFUNCTION("IMPORTRANGE(""https://docs.google.com/spreadsheets/d/1XL5vhW3sbDhbH9Cz0tuDiY8C3ctxq1tqvaCgkFb8cCA/edit?usp=sharing"",""อุบลราชธานี!J411"")"),0)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IFERROR(__xludf.DUMMYFUNCTION("IMPORTRANGE(""https://docs.google.com/spreadsheets/d/1XL5vhW3sbDhbH9Cz0tuDiY8C3ctxq1tqvaCgkFb8cCA/edit?usp=sharing"",""อุบลราชธานี!I412"")"),0)</f>
        <v>0</v>
      </c>
      <c r="J517" s="284">
        <f ca="1">IFERROR(__xludf.DUMMYFUNCTION("IMPORTRANGE(""https://docs.google.com/spreadsheets/d/1XL5vhW3sbDhbH9Cz0tuDiY8C3ctxq1tqvaCgkFb8cCA/edit?usp=sharing"",""อุบลราชธานี!J412"")"),0)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IFERROR(__xludf.DUMMYFUNCTION("IMPORTRANGE(""https://docs.google.com/spreadsheets/d/1XL5vhW3sbDhbH9Cz0tuDiY8C3ctxq1tqvaCgkFb8cCA/edit?usp=sharing"",""อุบลราชธานี!I413"")"),0)</f>
        <v>0</v>
      </c>
      <c r="J518" s="284">
        <f ca="1">IFERROR(__xludf.DUMMYFUNCTION("IMPORTRANGE(""https://docs.google.com/spreadsheets/d/1XL5vhW3sbDhbH9Cz0tuDiY8C3ctxq1tqvaCgkFb8cCA/edit?usp=sharing"",""อุบลราชธานี!J413"")"),0)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IFERROR(__xludf.DUMMYFUNCTION("IMPORTRANGE(""https://docs.google.com/spreadsheets/d/1XL5vhW3sbDhbH9Cz0tuDiY8C3ctxq1tqvaCgkFb8cCA/edit?usp=sharing"",""อุบลราชธานี!I414"")"),0)</f>
        <v>0</v>
      </c>
      <c r="J519" s="188">
        <f ca="1">IFERROR(__xludf.DUMMYFUNCTION("IMPORTRANGE(""https://docs.google.com/spreadsheets/d/1XL5vhW3sbDhbH9Cz0tuDiY8C3ctxq1tqvaCgkFb8cCA/edit?usp=sharing"",""อุบลราชธานี!J414"")"),0)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IFERROR(__xludf.DUMMYFUNCTION("IMPORTRANGE(""https://docs.google.com/spreadsheets/d/1XL5vhW3sbDhbH9Cz0tuDiY8C3ctxq1tqvaCgkFb8cCA/edit?usp=sharing"",""อุบลราชธานี!I415"")"),0)</f>
        <v>0</v>
      </c>
      <c r="J520" s="188">
        <f ca="1">IFERROR(__xludf.DUMMYFUNCTION("IMPORTRANGE(""https://docs.google.com/spreadsheets/d/1XL5vhW3sbDhbH9Cz0tuDiY8C3ctxq1tqvaCgkFb8cCA/edit?usp=sharing"",""อุบลราชธานี!J415"")"),0)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IFERROR(__xludf.DUMMYFUNCTION("IMPORTRANGE(""https://docs.google.com/spreadsheets/d/1XL5vhW3sbDhbH9Cz0tuDiY8C3ctxq1tqvaCgkFb8cCA/edit?usp=sharing"",""อุบลราชธานี!I416"")"),0)</f>
        <v>0</v>
      </c>
      <c r="J521" s="188">
        <f ca="1">IFERROR(__xludf.DUMMYFUNCTION("IMPORTRANGE(""https://docs.google.com/spreadsheets/d/1XL5vhW3sbDhbH9Cz0tuDiY8C3ctxq1tqvaCgkFb8cCA/edit?usp=sharing"",""อุบลราชธานี!J416"")"),0)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IFERROR(__xludf.DUMMYFUNCTION("IMPORTRANGE(""https://docs.google.com/spreadsheets/d/1XL5vhW3sbDhbH9Cz0tuDiY8C3ctxq1tqvaCgkFb8cCA/edit?usp=sharing"",""อุบลราชธานี!I417"")"),0)</f>
        <v>0</v>
      </c>
      <c r="J522" s="188">
        <f ca="1">IFERROR(__xludf.DUMMYFUNCTION("IMPORTRANGE(""https://docs.google.com/spreadsheets/d/1XL5vhW3sbDhbH9Cz0tuDiY8C3ctxq1tqvaCgkFb8cCA/edit?usp=sharing"",""อุบลราชธานี!J417"")"),0)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IFERROR(__xludf.DUMMYFUNCTION("IMPORTRANGE(""https://docs.google.com/spreadsheets/d/1XL5vhW3sbDhbH9Cz0tuDiY8C3ctxq1tqvaCgkFb8cCA/edit?usp=sharing"",""อุบลราชธานี!I418"")"),0)</f>
        <v>0</v>
      </c>
      <c r="J523" s="188">
        <f ca="1">IFERROR(__xludf.DUMMYFUNCTION("IMPORTRANGE(""https://docs.google.com/spreadsheets/d/1XL5vhW3sbDhbH9Cz0tuDiY8C3ctxq1tqvaCgkFb8cCA/edit?usp=sharing"",""อุบลราชธานี!J418"")"),0)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IFERROR(__xludf.DUMMYFUNCTION("IMPORTRANGE(""https://docs.google.com/spreadsheets/d/1XL5vhW3sbDhbH9Cz0tuDiY8C3ctxq1tqvaCgkFb8cCA/edit?usp=sharing"",""อุบลราชธานี!I419"")"),0)</f>
        <v>0</v>
      </c>
      <c r="J524" s="188">
        <f ca="1">IFERROR(__xludf.DUMMYFUNCTION("IMPORTRANGE(""https://docs.google.com/spreadsheets/d/1XL5vhW3sbDhbH9Cz0tuDiY8C3ctxq1tqvaCgkFb8cCA/edit?usp=sharing"",""อุบลราชธานี!J419"")"),0)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IFERROR(__xludf.DUMMYFUNCTION("IMPORTRANGE(""https://docs.google.com/spreadsheets/d/1XL5vhW3sbDhbH9Cz0tuDiY8C3ctxq1tqvaCgkFb8cCA/edit?usp=sharing"",""อุบลราชธานี!I420"")"),0)</f>
        <v>0</v>
      </c>
      <c r="J525" s="284">
        <f ca="1">IFERROR(__xludf.DUMMYFUNCTION("IMPORTRANGE(""https://docs.google.com/spreadsheets/d/1XL5vhW3sbDhbH9Cz0tuDiY8C3ctxq1tqvaCgkFb8cCA/edit?usp=sharing"",""อุบลราชธานี!J420"")"),0)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IFERROR(__xludf.DUMMYFUNCTION("IMPORTRANGE(""https://docs.google.com/spreadsheets/d/1XL5vhW3sbDhbH9Cz0tuDiY8C3ctxq1tqvaCgkFb8cCA/edit?usp=sharing"",""อุบลราชธานี!I421"")"),0)</f>
        <v>0</v>
      </c>
      <c r="J526" s="284">
        <f ca="1">IFERROR(__xludf.DUMMYFUNCTION("IMPORTRANGE(""https://docs.google.com/spreadsheets/d/1XL5vhW3sbDhbH9Cz0tuDiY8C3ctxq1tqvaCgkFb8cCA/edit?usp=sharing"",""อุบลราชธานี!J421"")"),0)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IFERROR(__xludf.DUMMYFUNCTION("IMPORTRANGE(""https://docs.google.com/spreadsheets/d/1XL5vhW3sbDhbH9Cz0tuDiY8C3ctxq1tqvaCgkFb8cCA/edit?usp=sharing"",""อุบลราชธานี!I422"")"),0)</f>
        <v>0</v>
      </c>
      <c r="J527" s="198">
        <f ca="1">IFERROR(__xludf.DUMMYFUNCTION("IMPORTRANGE(""https://docs.google.com/spreadsheets/d/1XL5vhW3sbDhbH9Cz0tuDiY8C3ctxq1tqvaCgkFb8cCA/edit?usp=sharing"",""อุบลราชธานี!J422"")"),0)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IFERROR(__xludf.DUMMYFUNCTION("IMPORTRANGE(""https://docs.google.com/spreadsheets/d/1XL5vhW3sbDhbH9Cz0tuDiY8C3ctxq1tqvaCgkFb8cCA/edit?usp=sharing"",""อุบลราชธานี!I423"")"),0)</f>
        <v>0</v>
      </c>
      <c r="J528" s="198">
        <f ca="1">IFERROR(__xludf.DUMMYFUNCTION("IMPORTRANGE(""https://docs.google.com/spreadsheets/d/1XL5vhW3sbDhbH9Cz0tuDiY8C3ctxq1tqvaCgkFb8cCA/edit?usp=sharing"",""อุบลราชธานี!J423"")"),0)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IFERROR(__xludf.DUMMYFUNCTION("IMPORTRANGE(""https://docs.google.com/spreadsheets/d/1XL5vhW3sbDhbH9Cz0tuDiY8C3ctxq1tqvaCgkFb8cCA/edit?usp=sharing"",""อุบลราชธานี!I424"")"),0)</f>
        <v>0</v>
      </c>
      <c r="J529" s="198">
        <f ca="1">IFERROR(__xludf.DUMMYFUNCTION("IMPORTRANGE(""https://docs.google.com/spreadsheets/d/1XL5vhW3sbDhbH9Cz0tuDiY8C3ctxq1tqvaCgkFb8cCA/edit?usp=sharing"",""อุบลราชธานี!J424"")"),0)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IFERROR(__xludf.DUMMYFUNCTION("IMPORTRANGE(""https://docs.google.com/spreadsheets/d/1XL5vhW3sbDhbH9Cz0tuDiY8C3ctxq1tqvaCgkFb8cCA/edit?usp=sharing"",""อุบลราชธานี!I425"")"),0)</f>
        <v>0</v>
      </c>
      <c r="J530" s="198">
        <f ca="1">IFERROR(__xludf.DUMMYFUNCTION("IMPORTRANGE(""https://docs.google.com/spreadsheets/d/1XL5vhW3sbDhbH9Cz0tuDiY8C3ctxq1tqvaCgkFb8cCA/edit?usp=sharing"",""อุบลราชธานี!J425"")"),0)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IFERROR(__xludf.DUMMYFUNCTION("IMPORTRANGE(""https://docs.google.com/spreadsheets/d/1XL5vhW3sbDhbH9Cz0tuDiY8C3ctxq1tqvaCgkFb8cCA/edit?usp=sharing"",""อุบลราชธานี!I426"")"),0)</f>
        <v>0</v>
      </c>
      <c r="J531" s="198">
        <f ca="1">IFERROR(__xludf.DUMMYFUNCTION("IMPORTRANGE(""https://docs.google.com/spreadsheets/d/1XL5vhW3sbDhbH9Cz0tuDiY8C3ctxq1tqvaCgkFb8cCA/edit?usp=sharing"",""อุบลราชธานี!J426"")"),0)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IFERROR(__xludf.DUMMYFUNCTION("IMPORTRANGE(""https://docs.google.com/spreadsheets/d/1XL5vhW3sbDhbH9Cz0tuDiY8C3ctxq1tqvaCgkFb8cCA/edit?usp=sharing"",""อุบลราชธานี!I427"")"),0)</f>
        <v>0</v>
      </c>
      <c r="J532" s="466">
        <f ca="1">IFERROR(__xludf.DUMMYFUNCTION("IMPORTRANGE(""https://docs.google.com/spreadsheets/d/1XL5vhW3sbDhbH9Cz0tuDiY8C3ctxq1tqvaCgkFb8cCA/edit?usp=sharing"",""อุบลราชธานี!J427"")"),0)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IFERROR(__xludf.DUMMYFUNCTION("IMPORTRANGE(""https://docs.google.com/spreadsheets/d/1XL5vhW3sbDhbH9Cz0tuDiY8C3ctxq1tqvaCgkFb8cCA/edit?usp=sharing"",""อุบลราชธานี!I428"")"),24)</f>
        <v>24</v>
      </c>
      <c r="J533" s="410">
        <f ca="1">IFERROR(__xludf.DUMMYFUNCTION("IMPORTRANGE(""https://docs.google.com/spreadsheets/d/1XL5vhW3sbDhbH9Cz0tuDiY8C3ctxq1tqvaCgkFb8cCA/edit?usp=sharing"",""อุบลราชธานี!J428"")"),24)</f>
        <v>24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IFERROR(__xludf.DUMMYFUNCTION("IMPORTRANGE(""https://docs.google.com/spreadsheets/d/1XL5vhW3sbDhbH9Cz0tuDiY8C3ctxq1tqvaCgkFb8cCA/edit?usp=sharing"",""อุบลราชธานี!L428"")"),36040)</f>
        <v>36040</v>
      </c>
      <c r="M533" s="412"/>
      <c r="N533" s="412">
        <f ca="1">IFERROR(__xludf.DUMMYFUNCTION("IMPORTRANGE(""https://docs.google.com/spreadsheets/d/1XL5vhW3sbDhbH9Cz0tuDiY8C3ctxq1tqvaCgkFb8cCA/edit?usp=sharing"",""อุบลราชธานี!M428"")"),32283.5)</f>
        <v>32283.5</v>
      </c>
      <c r="O533" s="412">
        <f t="shared" ref="O533:O537" ca="1" si="118">+IF(L533&gt;0,N533*100/L533,0)</f>
        <v>89.576859045504989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IFERROR(__xludf.DUMMYFUNCTION("IMPORTRANGE(""https://docs.google.com/spreadsheets/d/1XL5vhW3sbDhbH9Cz0tuDiY8C3ctxq1tqvaCgkFb8cCA/edit?usp=sharing"",""อุบลราชธานี!L429"")"),0)</f>
        <v>0</v>
      </c>
      <c r="M534" s="164"/>
      <c r="N534" s="169">
        <f ca="1">IFERROR(__xludf.DUMMYFUNCTION("IMPORTRANGE(""https://docs.google.com/spreadsheets/d/1XL5vhW3sbDhbH9Cz0tuDiY8C3ctxq1tqvaCgkFb8cCA/edit?usp=sharing"",""อุบลราชธานี!M429"")"),0)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IFERROR(__xludf.DUMMYFUNCTION("IMPORTRANGE(""https://docs.google.com/spreadsheets/d/1XL5vhW3sbDhbH9Cz0tuDiY8C3ctxq1tqvaCgkFb8cCA/edit?usp=sharing"",""อุบลราชธานี!L430"")"),36040)</f>
        <v>36040</v>
      </c>
      <c r="M535" s="165"/>
      <c r="N535" s="169">
        <f ca="1">IFERROR(__xludf.DUMMYFUNCTION("IMPORTRANGE(""https://docs.google.com/spreadsheets/d/1XL5vhW3sbDhbH9Cz0tuDiY8C3ctxq1tqvaCgkFb8cCA/edit?usp=sharing"",""อุบลราชธานี!M430"")"),32283.5)</f>
        <v>32283.5</v>
      </c>
      <c r="O535" s="169">
        <f t="shared" ca="1" si="118"/>
        <v>89.576859045504989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IFERROR(__xludf.DUMMYFUNCTION("IMPORTRANGE(""https://docs.google.com/spreadsheets/d/1XL5vhW3sbDhbH9Cz0tuDiY8C3ctxq1tqvaCgkFb8cCA/edit?usp=sharing"",""อุบลราชธานี!L431"")"),0)</f>
        <v>0</v>
      </c>
      <c r="M536" s="169"/>
      <c r="N536" s="169">
        <f ca="1">IFERROR(__xludf.DUMMYFUNCTION("IMPORTRANGE(""https://docs.google.com/spreadsheets/d/1XL5vhW3sbDhbH9Cz0tuDiY8C3ctxq1tqvaCgkFb8cCA/edit?usp=sharing"",""อุบลราชธานี!M431"")"),0)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IFERROR(__xludf.DUMMYFUNCTION("IMPORTRANGE(""https://docs.google.com/spreadsheets/d/1XL5vhW3sbDhbH9Cz0tuDiY8C3ctxq1tqvaCgkFb8cCA/edit?usp=sharing"",""อุบลราชธานี!L432"")"),36040)</f>
        <v>36040</v>
      </c>
      <c r="M537" s="169"/>
      <c r="N537" s="169">
        <f ca="1">IFERROR(__xludf.DUMMYFUNCTION("IMPORTRANGE(""https://docs.google.com/spreadsheets/d/1XL5vhW3sbDhbH9Cz0tuDiY8C3ctxq1tqvaCgkFb8cCA/edit?usp=sharing"",""อุบลราชธานี!M432"")"),32283.5)</f>
        <v>32283.5</v>
      </c>
      <c r="O537" s="169">
        <f t="shared" ca="1" si="118"/>
        <v>89.576859045504989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IFERROR(__xludf.DUMMYFUNCTION("IMPORTRANGE(""https://docs.google.com/spreadsheets/d/1XL5vhW3sbDhbH9Cz0tuDiY8C3ctxq1tqvaCgkFb8cCA/edit?usp=sharing"",""อุบลราชธานี!M433"")"),23380)</f>
        <v>23380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IFERROR(__xludf.DUMMYFUNCTION("IMPORTRANGE(""https://docs.google.com/spreadsheets/d/1XL5vhW3sbDhbH9Cz0tuDiY8C3ctxq1tqvaCgkFb8cCA/edit?usp=sharing"",""อุบลราชธานี!M434"")"),0)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IFERROR(__xludf.DUMMYFUNCTION("IMPORTRANGE(""https://docs.google.com/spreadsheets/d/1XL5vhW3sbDhbH9Cz0tuDiY8C3ctxq1tqvaCgkFb8cCA/edit?usp=sharing"",""อุบลราชธานี!M435"")"),0)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IFERROR(__xludf.DUMMYFUNCTION("IMPORTRANGE(""https://docs.google.com/spreadsheets/d/1XL5vhW3sbDhbH9Cz0tuDiY8C3ctxq1tqvaCgkFb8cCA/edit?usp=sharing"",""อุบลราชธานี!M436"")"),8903.5)</f>
        <v>8903.5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IFERROR(__xludf.DUMMYFUNCTION("IMPORTRANGE(""https://docs.google.com/spreadsheets/d/1XL5vhW3sbDhbH9Cz0tuDiY8C3ctxq1tqvaCgkFb8cCA/edit?usp=sharing"",""อุบลราชธานี!J438"")"),0)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IFERROR(__xludf.DUMMYFUNCTION("IMPORTRANGE(""https://docs.google.com/spreadsheets/d/1XL5vhW3sbDhbH9Cz0tuDiY8C3ctxq1tqvaCgkFb8cCA/edit?usp=sharing"",""อุบลราชธานี!J439"")"),1)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IFERROR(__xludf.DUMMYFUNCTION("IMPORTRANGE(""https://docs.google.com/spreadsheets/d/1XL5vhW3sbDhbH9Cz0tuDiY8C3ctxq1tqvaCgkFb8cCA/edit?usp=sharing"",""อุบลราชธานี!J440"")"),1)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IFERROR(__xludf.DUMMYFUNCTION("IMPORTRANGE(""https://docs.google.com/spreadsheets/d/1XL5vhW3sbDhbH9Cz0tuDiY8C3ctxq1tqvaCgkFb8cCA/edit?usp=sharing"",""อุบลราชธานี!J441"")"),1)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IFERROR(__xludf.DUMMYFUNCTION("IMPORTRANGE(""https://docs.google.com/spreadsheets/d/1XL5vhW3sbDhbH9Cz0tuDiY8C3ctxq1tqvaCgkFb8cCA/edit?usp=sharing"",""อุบลราชธานี!I442"")"),24)</f>
        <v>24</v>
      </c>
      <c r="J547" s="189">
        <f ca="1">IFERROR(__xludf.DUMMYFUNCTION("IMPORTRANGE(""https://docs.google.com/spreadsheets/d/1XL5vhW3sbDhbH9Cz0tuDiY8C3ctxq1tqvaCgkFb8cCA/edit?usp=sharing"",""อุบลราชธานี!J442"")"),24)</f>
        <v>24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IFERROR(__xludf.DUMMYFUNCTION("IMPORTRANGE(""https://docs.google.com/spreadsheets/d/1XL5vhW3sbDhbH9Cz0tuDiY8C3ctxq1tqvaCgkFb8cCA/edit?usp=sharing"",""อุบลราชธานี!J166"")"),0)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IFERROR(__xludf.DUMMYFUNCTION("IMPORTRANGE(""https://docs.google.com/spreadsheets/d/1XL5vhW3sbDhbH9Cz0tuDiY8C3ctxq1tqvaCgkFb8cCA/edit?usp=sharing"",""อุบลราชธานี!J444"")"),0)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IFERROR(__xludf.DUMMYFUNCTION("IMPORTRANGE(""https://docs.google.com/spreadsheets/d/1XL5vhW3sbDhbH9Cz0tuDiY8C3ctxq1tqvaCgkFb8cCA/edit?usp=sharing"",""อุบลราชธานี!J445"")"),0)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IFERROR(__xludf.DUMMYFUNCTION("IMPORTRANGE(""https://docs.google.com/spreadsheets/d/1XL5vhW3sbDhbH9Cz0tuDiY8C3ctxq1tqvaCgkFb8cCA/edit?usp=sharing"",""อุบลราชธานี!I446"")"),5000)</f>
        <v>5000</v>
      </c>
      <c r="J551" s="410">
        <f ca="1">IFERROR(__xludf.DUMMYFUNCTION("IMPORTRANGE(""https://docs.google.com/spreadsheets/d/1XL5vhW3sbDhbH9Cz0tuDiY8C3ctxq1tqvaCgkFb8cCA/edit?usp=sharing"",""อุบลราชธานี!J446"")"),2672)</f>
        <v>2672</v>
      </c>
      <c r="K551" s="411">
        <f ca="1">IF(I551&gt;0,J551*100/I551,0)</f>
        <v>53.44</v>
      </c>
      <c r="L551" s="412">
        <f ca="1">IFERROR(__xludf.DUMMYFUNCTION("IMPORTRANGE(""https://docs.google.com/spreadsheets/d/1XL5vhW3sbDhbH9Cz0tuDiY8C3ctxq1tqvaCgkFb8cCA/edit?usp=sharing"",""อุบลราชธานี!L446"")"),320000)</f>
        <v>320000</v>
      </c>
      <c r="M551" s="412"/>
      <c r="N551" s="412">
        <f ca="1">IFERROR(__xludf.DUMMYFUNCTION("IMPORTRANGE(""https://docs.google.com/spreadsheets/d/1XL5vhW3sbDhbH9Cz0tuDiY8C3ctxq1tqvaCgkFb8cCA/edit?usp=sharing"",""อุบลราชธานี!M446"")"),202028.3)</f>
        <v>202028.3</v>
      </c>
      <c r="O551" s="412">
        <f t="shared" ref="O551:O555" ca="1" si="120">+IF(L551&gt;0,N551*100/L551,0)</f>
        <v>63.133843749999997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IFERROR(__xludf.DUMMYFUNCTION("IMPORTRANGE(""https://docs.google.com/spreadsheets/d/1XL5vhW3sbDhbH9Cz0tuDiY8C3ctxq1tqvaCgkFb8cCA/edit?usp=sharing"",""อุบลราชธานี!L447"")"),0)</f>
        <v>0</v>
      </c>
      <c r="M552" s="164"/>
      <c r="N552" s="169">
        <f ca="1">IFERROR(__xludf.DUMMYFUNCTION("IMPORTRANGE(""https://docs.google.com/spreadsheets/d/1XL5vhW3sbDhbH9Cz0tuDiY8C3ctxq1tqvaCgkFb8cCA/edit?usp=sharing"",""อุบลราชธานี!M447"")"),0)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IFERROR(__xludf.DUMMYFUNCTION("IMPORTRANGE(""https://docs.google.com/spreadsheets/d/1XL5vhW3sbDhbH9Cz0tuDiY8C3ctxq1tqvaCgkFb8cCA/edit?usp=sharing"",""อุบลราชธานี!L448"")"),320000)</f>
        <v>320000</v>
      </c>
      <c r="M553" s="165"/>
      <c r="N553" s="169">
        <f ca="1">IFERROR(__xludf.DUMMYFUNCTION("IMPORTRANGE(""https://docs.google.com/spreadsheets/d/1XL5vhW3sbDhbH9Cz0tuDiY8C3ctxq1tqvaCgkFb8cCA/edit?usp=sharing"",""อุบลราชธานี!M448"")"),202028.3)</f>
        <v>202028.3</v>
      </c>
      <c r="O553" s="169">
        <f t="shared" ca="1" si="120"/>
        <v>63.133843749999997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IFERROR(__xludf.DUMMYFUNCTION("IMPORTRANGE(""https://docs.google.com/spreadsheets/d/1XL5vhW3sbDhbH9Cz0tuDiY8C3ctxq1tqvaCgkFb8cCA/edit?usp=sharing"",""อุบลราชธานี!L449"")"),0)</f>
        <v>0</v>
      </c>
      <c r="M554" s="169"/>
      <c r="N554" s="169">
        <f ca="1">IFERROR(__xludf.DUMMYFUNCTION("IMPORTRANGE(""https://docs.google.com/spreadsheets/d/1XL5vhW3sbDhbH9Cz0tuDiY8C3ctxq1tqvaCgkFb8cCA/edit?usp=sharing"",""อุบลราชธานี!M449"")"),0)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IFERROR(__xludf.DUMMYFUNCTION("IMPORTRANGE(""https://docs.google.com/spreadsheets/d/1XL5vhW3sbDhbH9Cz0tuDiY8C3ctxq1tqvaCgkFb8cCA/edit?usp=sharing"",""อุบลราชธานี!L450"")"),320000)</f>
        <v>320000</v>
      </c>
      <c r="M555" s="169"/>
      <c r="N555" s="169">
        <f ca="1">IFERROR(__xludf.DUMMYFUNCTION("IMPORTRANGE(""https://docs.google.com/spreadsheets/d/1XL5vhW3sbDhbH9Cz0tuDiY8C3ctxq1tqvaCgkFb8cCA/edit?usp=sharing"",""อุบลราชธานี!M450"")"),202028.3)</f>
        <v>202028.3</v>
      </c>
      <c r="O555" s="169">
        <f t="shared" ca="1" si="120"/>
        <v>63.133843749999997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IFERROR(__xludf.DUMMYFUNCTION("IMPORTRANGE(""https://docs.google.com/spreadsheets/d/1XL5vhW3sbDhbH9Cz0tuDiY8C3ctxq1tqvaCgkFb8cCA/edit?usp=sharing"",""อุบลราชธานี!M451"")"),0)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IFERROR(__xludf.DUMMYFUNCTION("IMPORTRANGE(""https://docs.google.com/spreadsheets/d/1XL5vhW3sbDhbH9Cz0tuDiY8C3ctxq1tqvaCgkFb8cCA/edit?usp=sharing"",""อุบลราชธานี!M452"")"),0)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IFERROR(__xludf.DUMMYFUNCTION("IMPORTRANGE(""https://docs.google.com/spreadsheets/d/1XL5vhW3sbDhbH9Cz0tuDiY8C3ctxq1tqvaCgkFb8cCA/edit?usp=sharing"",""อุบลราชธานี!M453"")"),44400)</f>
        <v>44400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IFERROR(__xludf.DUMMYFUNCTION("IMPORTRANGE(""https://docs.google.com/spreadsheets/d/1XL5vhW3sbDhbH9Cz0tuDiY8C3ctxq1tqvaCgkFb8cCA/edit?usp=sharing"",""อุบลราชธานี!M454"")"),157628.3)</f>
        <v>157628.29999999999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IFERROR(__xludf.DUMMYFUNCTION("IMPORTRANGE(""https://docs.google.com/spreadsheets/d/1XL5vhW3sbDhbH9Cz0tuDiY8C3ctxq1tqvaCgkFb8cCA/edit?usp=sharing"",""อุบลราชธานี!I455"")"),5000)</f>
        <v>5000</v>
      </c>
      <c r="J560" s="162">
        <f ca="1">IFERROR(__xludf.DUMMYFUNCTION("IMPORTRANGE(""https://docs.google.com/spreadsheets/d/1XL5vhW3sbDhbH9Cz0tuDiY8C3ctxq1tqvaCgkFb8cCA/edit?usp=sharing"",""อุบลราชธานี!J455"")"),2672)</f>
        <v>2672</v>
      </c>
      <c r="K560" s="224">
        <f t="shared" ref="K560:K561" ca="1" si="121">IF(I560&gt;0,J560*100/I560,0)</f>
        <v>53.44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IFERROR(__xludf.DUMMYFUNCTION("IMPORTRANGE(""https://docs.google.com/spreadsheets/d/1XL5vhW3sbDhbH9Cz0tuDiY8C3ctxq1tqvaCgkFb8cCA/edit?usp=sharing"",""อุบลราชธานี!I456"")"),0)</f>
        <v>0</v>
      </c>
      <c r="J561" s="204">
        <f ca="1">IFERROR(__xludf.DUMMYFUNCTION("IMPORTRANGE(""https://docs.google.com/spreadsheets/d/1XL5vhW3sbDhbH9Cz0tuDiY8C3ctxq1tqvaCgkFb8cCA/edit?usp=sharing"",""อุบลราชธานี!J456"")"),191)</f>
        <v>191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IFERROR(__xludf.DUMMYFUNCTION("IMPORTRANGE(""https://docs.google.com/spreadsheets/d/1XL5vhW3sbDhbH9Cz0tuDiY8C3ctxq1tqvaCgkFb8cCA/edit?usp=sharing"",""อุบลราชธานี!I459"")"),7200)</f>
        <v>7200</v>
      </c>
      <c r="J564" s="371">
        <f ca="1">IFERROR(__xludf.DUMMYFUNCTION("IMPORTRANGE(""https://docs.google.com/spreadsheets/d/1XL5vhW3sbDhbH9Cz0tuDiY8C3ctxq1tqvaCgkFb8cCA/edit?usp=sharing"",""อุบลราชธานี!J459"")"),7174)</f>
        <v>7174</v>
      </c>
      <c r="K564" s="372">
        <f ca="1">IF(I564&gt;0,J564*100/I564,0)</f>
        <v>99.638888888888886</v>
      </c>
      <c r="L564" s="373">
        <f ca="1">IFERROR(__xludf.DUMMYFUNCTION("IMPORTRANGE(""https://docs.google.com/spreadsheets/d/1XL5vhW3sbDhbH9Cz0tuDiY8C3ctxq1tqvaCgkFb8cCA/edit?usp=sharing"",""อุบลราชธานี!L459"")"),197200)</f>
        <v>197200</v>
      </c>
      <c r="M564" s="373"/>
      <c r="N564" s="373">
        <f ca="1">IFERROR(__xludf.DUMMYFUNCTION("IMPORTRANGE(""https://docs.google.com/spreadsheets/d/1XL5vhW3sbDhbH9Cz0tuDiY8C3ctxq1tqvaCgkFb8cCA/edit?usp=sharing"",""อุบลราชธานี!M459"")"),128111)</f>
        <v>128111</v>
      </c>
      <c r="O564" s="373">
        <f t="shared" ref="O564:O568" ca="1" si="122">+IF(L564&gt;0,N564*100/L564,0)</f>
        <v>64.965010141987833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IFERROR(__xludf.DUMMYFUNCTION("IMPORTRANGE(""https://docs.google.com/spreadsheets/d/1XL5vhW3sbDhbH9Cz0tuDiY8C3ctxq1tqvaCgkFb8cCA/edit?usp=sharing"",""อุบลราชธานี!L460"")"),0)</f>
        <v>0</v>
      </c>
      <c r="M565" s="164"/>
      <c r="N565" s="169">
        <f ca="1">IFERROR(__xludf.DUMMYFUNCTION("IMPORTRANGE(""https://docs.google.com/spreadsheets/d/1XL5vhW3sbDhbH9Cz0tuDiY8C3ctxq1tqvaCgkFb8cCA/edit?usp=sharing"",""อุบลราชธานี!M460"")"),0)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IFERROR(__xludf.DUMMYFUNCTION("IMPORTRANGE(""https://docs.google.com/spreadsheets/d/1XL5vhW3sbDhbH9Cz0tuDiY8C3ctxq1tqvaCgkFb8cCA/edit?usp=sharing"",""อุบลราชธานี!L461"")"),197200)</f>
        <v>197200</v>
      </c>
      <c r="M566" s="165"/>
      <c r="N566" s="169">
        <f ca="1">IFERROR(__xludf.DUMMYFUNCTION("IMPORTRANGE(""https://docs.google.com/spreadsheets/d/1XL5vhW3sbDhbH9Cz0tuDiY8C3ctxq1tqvaCgkFb8cCA/edit?usp=sharing"",""อุบลราชธานี!M461"")"),128111)</f>
        <v>128111</v>
      </c>
      <c r="O566" s="169">
        <f t="shared" ca="1" si="122"/>
        <v>64.965010141987833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IFERROR(__xludf.DUMMYFUNCTION("IMPORTRANGE(""https://docs.google.com/spreadsheets/d/1XL5vhW3sbDhbH9Cz0tuDiY8C3ctxq1tqvaCgkFb8cCA/edit?usp=sharing"",""อุบลราชธานี!L462"")"),0)</f>
        <v>0</v>
      </c>
      <c r="M567" s="169"/>
      <c r="N567" s="169">
        <f ca="1">IFERROR(__xludf.DUMMYFUNCTION("IMPORTRANGE(""https://docs.google.com/spreadsheets/d/1XL5vhW3sbDhbH9Cz0tuDiY8C3ctxq1tqvaCgkFb8cCA/edit?usp=sharing"",""อุบลราชธานี!M462"")"),0)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IFERROR(__xludf.DUMMYFUNCTION("IMPORTRANGE(""https://docs.google.com/spreadsheets/d/1XL5vhW3sbDhbH9Cz0tuDiY8C3ctxq1tqvaCgkFb8cCA/edit?usp=sharing"",""อุบลราชธานี!L463"")"),197200)</f>
        <v>197200</v>
      </c>
      <c r="M568" s="169"/>
      <c r="N568" s="169">
        <f ca="1">IFERROR(__xludf.DUMMYFUNCTION("IMPORTRANGE(""https://docs.google.com/spreadsheets/d/1XL5vhW3sbDhbH9Cz0tuDiY8C3ctxq1tqvaCgkFb8cCA/edit?usp=sharing"",""อุบลราชธานี!M463"")"),128111)</f>
        <v>128111</v>
      </c>
      <c r="O568" s="169">
        <f t="shared" ca="1" si="122"/>
        <v>64.965010141987833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IFERROR(__xludf.DUMMYFUNCTION("IMPORTRANGE(""https://docs.google.com/spreadsheets/d/1XL5vhW3sbDhbH9Cz0tuDiY8C3ctxq1tqvaCgkFb8cCA/edit?usp=sharing"",""อุบลราชธานี!M464"")"),0)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IFERROR(__xludf.DUMMYFUNCTION("IMPORTRANGE(""https://docs.google.com/spreadsheets/d/1XL5vhW3sbDhbH9Cz0tuDiY8C3ctxq1tqvaCgkFb8cCA/edit?usp=sharing"",""อุบลราชธานี!M465"")"),0)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IFERROR(__xludf.DUMMYFUNCTION("IMPORTRANGE(""https://docs.google.com/spreadsheets/d/1XL5vhW3sbDhbH9Cz0tuDiY8C3ctxq1tqvaCgkFb8cCA/edit?usp=sharing"",""อุบลราชธานี!M466"")"),64568)</f>
        <v>64568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IFERROR(__xludf.DUMMYFUNCTION("IMPORTRANGE(""https://docs.google.com/spreadsheets/d/1XL5vhW3sbDhbH9Cz0tuDiY8C3ctxq1tqvaCgkFb8cCA/edit?usp=sharing"",""อุบลราชธานี!M467"")"),63543)</f>
        <v>63543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IFERROR(__xludf.DUMMYFUNCTION("IMPORTRANGE(""https://docs.google.com/spreadsheets/d/1XL5vhW3sbDhbH9Cz0tuDiY8C3ctxq1tqvaCgkFb8cCA/edit?usp=sharing"",""อุบลราชธานี!I468"")"),7200)</f>
        <v>7200</v>
      </c>
      <c r="J573" s="420">
        <f ca="1">IFERROR(__xludf.DUMMYFUNCTION("IMPORTRANGE(""https://docs.google.com/spreadsheets/d/1XL5vhW3sbDhbH9Cz0tuDiY8C3ctxq1tqvaCgkFb8cCA/edit?usp=sharing"",""อุบลราชธานี!J468"")"),7174)</f>
        <v>7174</v>
      </c>
      <c r="K573" s="202">
        <f ca="1">IF(I573&gt;0,J573*100/I573,0)</f>
        <v>99.638888888888886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IFERROR(__xludf.DUMMYFUNCTION("IMPORTRANGE(""https://docs.google.com/spreadsheets/d/1XL5vhW3sbDhbH9Cz0tuDiY8C3ctxq1tqvaCgkFb8cCA/edit?usp=sharing"",""อุบลราชธานี!I470"")"),0)</f>
        <v>0</v>
      </c>
      <c r="J575" s="198">
        <f ca="1">IFERROR(__xludf.DUMMYFUNCTION("IMPORTRANGE(""https://docs.google.com/spreadsheets/d/1XL5vhW3sbDhbH9Cz0tuDiY8C3ctxq1tqvaCgkFb8cCA/edit?usp=sharing"",""อุบลราชธานี!J470"")"),1)</f>
        <v>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IFERROR(__xludf.DUMMYFUNCTION("IMPORTRANGE(""https://docs.google.com/spreadsheets/d/1XL5vhW3sbDhbH9Cz0tuDiY8C3ctxq1tqvaCgkFb8cCA/edit?usp=sharing"",""อุบลราชธานี!I471"")"),0)</f>
        <v>0</v>
      </c>
      <c r="J576" s="198">
        <f ca="1">IFERROR(__xludf.DUMMYFUNCTION("IMPORTRANGE(""https://docs.google.com/spreadsheets/d/1XL5vhW3sbDhbH9Cz0tuDiY8C3ctxq1tqvaCgkFb8cCA/edit?usp=sharing"",""อุบลราชธานี!J471"")"),212)</f>
        <v>212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IFERROR(__xludf.DUMMYFUNCTION("IMPORTRANGE(""https://docs.google.com/spreadsheets/d/1XL5vhW3sbDhbH9Cz0tuDiY8C3ctxq1tqvaCgkFb8cCA/edit?usp=sharing"",""อุบลราชธานี!I472"")"),0)</f>
        <v>0</v>
      </c>
      <c r="J577" s="189">
        <f ca="1">IFERROR(__xludf.DUMMYFUNCTION("IMPORTRANGE(""https://docs.google.com/spreadsheets/d/1XL5vhW3sbDhbH9Cz0tuDiY8C3ctxq1tqvaCgkFb8cCA/edit?usp=sharing"",""อุบลราชธานี!J472"")"),6885)</f>
        <v>6885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IFERROR(__xludf.DUMMYFUNCTION("IMPORTRANGE(""https://docs.google.com/spreadsheets/d/1XL5vhW3sbDhbH9Cz0tuDiY8C3ctxq1tqvaCgkFb8cCA/edit?usp=sharing"",""อุบลราชธานี!I473"")"),0)</f>
        <v>0</v>
      </c>
      <c r="J578" s="198">
        <f ca="1">IFERROR(__xludf.DUMMYFUNCTION("IMPORTRANGE(""https://docs.google.com/spreadsheets/d/1XL5vhW3sbDhbH9Cz0tuDiY8C3ctxq1tqvaCgkFb8cCA/edit?usp=sharing"",""อุบลราชธานี!J473"")"),4)</f>
        <v>4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IFERROR(__xludf.DUMMYFUNCTION("IMPORTRANGE(""https://docs.google.com/spreadsheets/d/1XL5vhW3sbDhbH9Cz0tuDiY8C3ctxq1tqvaCgkFb8cCA/edit?usp=sharing"",""อุบลราชธานี!I474"")"),0)</f>
        <v>0</v>
      </c>
      <c r="J579" s="198">
        <f ca="1">IFERROR(__xludf.DUMMYFUNCTION("IMPORTRANGE(""https://docs.google.com/spreadsheets/d/1XL5vhW3sbDhbH9Cz0tuDiY8C3ctxq1tqvaCgkFb8cCA/edit?usp=sharing"",""อุบลราชธานี!J474"")"),73)</f>
        <v>73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IFERROR(__xludf.DUMMYFUNCTION("IMPORTRANGE(""https://docs.google.com/spreadsheets/d/1XL5vhW3sbDhbH9Cz0tuDiY8C3ctxq1tqvaCgkFb8cCA/edit?usp=sharing"",""อุบลราชธานี!I475"")"),100)</f>
        <v>100</v>
      </c>
      <c r="J580" s="371">
        <f ca="1">IFERROR(__xludf.DUMMYFUNCTION("IMPORTRANGE(""https://docs.google.com/spreadsheets/d/1XL5vhW3sbDhbH9Cz0tuDiY8C3ctxq1tqvaCgkFb8cCA/edit?usp=sharing"",""อุบลราชธานี!J475"")"),11)</f>
        <v>11</v>
      </c>
      <c r="K580" s="372">
        <f ca="1">IF(I580&gt;0,J580*100/I580,0)</f>
        <v>11</v>
      </c>
      <c r="L580" s="373">
        <f ca="1">IFERROR(__xludf.DUMMYFUNCTION("IMPORTRANGE(""https://docs.google.com/spreadsheets/d/1XL5vhW3sbDhbH9Cz0tuDiY8C3ctxq1tqvaCgkFb8cCA/edit?usp=sharing"",""อุบลราชธานี!L475"")"),348100)</f>
        <v>348100</v>
      </c>
      <c r="M580" s="373"/>
      <c r="N580" s="373">
        <f ca="1">IFERROR(__xludf.DUMMYFUNCTION("IMPORTRANGE(""https://docs.google.com/spreadsheets/d/1XL5vhW3sbDhbH9Cz0tuDiY8C3ctxq1tqvaCgkFb8cCA/edit?usp=sharing"",""อุบลราชธานี!M475"")"),148597.95)</f>
        <v>148597.95000000001</v>
      </c>
      <c r="O580" s="373">
        <f t="shared" ref="O580:O584" ca="1" si="124">+IF(L580&gt;0,N580*100/L580,0)</f>
        <v>42.688293593794889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IFERROR(__xludf.DUMMYFUNCTION("IMPORTRANGE(""https://docs.google.com/spreadsheets/d/1XL5vhW3sbDhbH9Cz0tuDiY8C3ctxq1tqvaCgkFb8cCA/edit?usp=sharing"",""อุบลราชธานี!L476"")"),0)</f>
        <v>0</v>
      </c>
      <c r="M581" s="164"/>
      <c r="N581" s="169">
        <f ca="1">IFERROR(__xludf.DUMMYFUNCTION("IMPORTRANGE(""https://docs.google.com/spreadsheets/d/1XL5vhW3sbDhbH9Cz0tuDiY8C3ctxq1tqvaCgkFb8cCA/edit?usp=sharing"",""อุบลราชธานี!M476"")"),0)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IFERROR(__xludf.DUMMYFUNCTION("IMPORTRANGE(""https://docs.google.com/spreadsheets/d/1XL5vhW3sbDhbH9Cz0tuDiY8C3ctxq1tqvaCgkFb8cCA/edit?usp=sharing"",""อุบลราชธานี!L477"")"),348100)</f>
        <v>348100</v>
      </c>
      <c r="M582" s="165"/>
      <c r="N582" s="169">
        <f ca="1">IFERROR(__xludf.DUMMYFUNCTION("IMPORTRANGE(""https://docs.google.com/spreadsheets/d/1XL5vhW3sbDhbH9Cz0tuDiY8C3ctxq1tqvaCgkFb8cCA/edit?usp=sharing"",""อุบลราชธานี!M477"")"),148597.95)</f>
        <v>148597.95000000001</v>
      </c>
      <c r="O582" s="169">
        <f t="shared" ca="1" si="124"/>
        <v>42.688293593794889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IFERROR(__xludf.DUMMYFUNCTION("IMPORTRANGE(""https://docs.google.com/spreadsheets/d/1XL5vhW3sbDhbH9Cz0tuDiY8C3ctxq1tqvaCgkFb8cCA/edit?usp=sharing"",""อุบลราชธานี!L478"")"),0)</f>
        <v>0</v>
      </c>
      <c r="M583" s="169"/>
      <c r="N583" s="169">
        <f ca="1">IFERROR(__xludf.DUMMYFUNCTION("IMPORTRANGE(""https://docs.google.com/spreadsheets/d/1XL5vhW3sbDhbH9Cz0tuDiY8C3ctxq1tqvaCgkFb8cCA/edit?usp=sharing"",""อุบลราชธานี!M478"")"),0)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IFERROR(__xludf.DUMMYFUNCTION("IMPORTRANGE(""https://docs.google.com/spreadsheets/d/1XL5vhW3sbDhbH9Cz0tuDiY8C3ctxq1tqvaCgkFb8cCA/edit?usp=sharing"",""อุบลราชธานี!L479"")"),348100)</f>
        <v>348100</v>
      </c>
      <c r="M584" s="169"/>
      <c r="N584" s="169">
        <f ca="1">IFERROR(__xludf.DUMMYFUNCTION("IMPORTRANGE(""https://docs.google.com/spreadsheets/d/1XL5vhW3sbDhbH9Cz0tuDiY8C3ctxq1tqvaCgkFb8cCA/edit?usp=sharing"",""อุบลราชธานี!M479"")"),148597.95)</f>
        <v>148597.95000000001</v>
      </c>
      <c r="O584" s="169">
        <f t="shared" ca="1" si="124"/>
        <v>42.688293593794889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IFERROR(__xludf.DUMMYFUNCTION("IMPORTRANGE(""https://docs.google.com/spreadsheets/d/1XL5vhW3sbDhbH9Cz0tuDiY8C3ctxq1tqvaCgkFb8cCA/edit?usp=sharing"",""อุบลราชธานี!M480"")"),0)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IFERROR(__xludf.DUMMYFUNCTION("IMPORTRANGE(""https://docs.google.com/spreadsheets/d/1XL5vhW3sbDhbH9Cz0tuDiY8C3ctxq1tqvaCgkFb8cCA/edit?usp=sharing"",""อุบลราชธานี!M481"")"),0)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IFERROR(__xludf.DUMMYFUNCTION("IMPORTRANGE(""https://docs.google.com/spreadsheets/d/1XL5vhW3sbDhbH9Cz0tuDiY8C3ctxq1tqvaCgkFb8cCA/edit?usp=sharing"",""อุบลราชธานี!M482"")"),64568)</f>
        <v>64568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IFERROR(__xludf.DUMMYFUNCTION("IMPORTRANGE(""https://docs.google.com/spreadsheets/d/1XL5vhW3sbDhbH9Cz0tuDiY8C3ctxq1tqvaCgkFb8cCA/edit?usp=sharing"",""อุบลราชธานี!M483"")"),84029.95)</f>
        <v>84029.95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IFERROR(__xludf.DUMMYFUNCTION("IMPORTRANGE(""https://docs.google.com/spreadsheets/d/1XL5vhW3sbDhbH9Cz0tuDiY8C3ctxq1tqvaCgkFb8cCA/edit?usp=sharing"",""อุบลราชธานี!I484"")"),100)</f>
        <v>100</v>
      </c>
      <c r="J589" s="188">
        <f ca="1">IFERROR(__xludf.DUMMYFUNCTION("IMPORTRANGE(""https://docs.google.com/spreadsheets/d/1XL5vhW3sbDhbH9Cz0tuDiY8C3ctxq1tqvaCgkFb8cCA/edit?usp=sharing"",""อุบลราชธานี!J484"")"),64)</f>
        <v>64</v>
      </c>
      <c r="K589" s="163">
        <f t="shared" ref="K589:K596" ca="1" si="125">IF(I589&gt;0,J589*100/I589,0)</f>
        <v>64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IFERROR(__xludf.DUMMYFUNCTION("IMPORTRANGE(""https://docs.google.com/spreadsheets/d/1XL5vhW3sbDhbH9Cz0tuDiY8C3ctxq1tqvaCgkFb8cCA/edit?usp=sharing"",""อุบลราชธานี!I485"")"),0)</f>
        <v>0</v>
      </c>
      <c r="J590" s="188">
        <f ca="1">IFERROR(__xludf.DUMMYFUNCTION("IMPORTRANGE(""https://docs.google.com/spreadsheets/d/1XL5vhW3sbDhbH9Cz0tuDiY8C3ctxq1tqvaCgkFb8cCA/edit?usp=sharing"",""อุบลราชธานี!J485"")"),25.5)</f>
        <v>25.5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IFERROR(__xludf.DUMMYFUNCTION("IMPORTRANGE(""https://docs.google.com/spreadsheets/d/1XL5vhW3sbDhbH9Cz0tuDiY8C3ctxq1tqvaCgkFb8cCA/edit?usp=sharing"",""อุบลราชธานี!I486"")"),100)</f>
        <v>100</v>
      </c>
      <c r="J591" s="188">
        <f ca="1">IFERROR(__xludf.DUMMYFUNCTION("IMPORTRANGE(""https://docs.google.com/spreadsheets/d/1XL5vhW3sbDhbH9Cz0tuDiY8C3ctxq1tqvaCgkFb8cCA/edit?usp=sharing"",""อุบลราชธานี!J486"")"),5)</f>
        <v>5</v>
      </c>
      <c r="K591" s="163">
        <f t="shared" ca="1" si="125"/>
        <v>5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IFERROR(__xludf.DUMMYFUNCTION("IMPORTRANGE(""https://docs.google.com/spreadsheets/d/1XL5vhW3sbDhbH9Cz0tuDiY8C3ctxq1tqvaCgkFb8cCA/edit?usp=sharing"",""อุบลราชธานี!I487"")"),0)</f>
        <v>0</v>
      </c>
      <c r="J592" s="188">
        <f ca="1">IFERROR(__xludf.DUMMYFUNCTION("IMPORTRANGE(""https://docs.google.com/spreadsheets/d/1XL5vhW3sbDhbH9Cz0tuDiY8C3ctxq1tqvaCgkFb8cCA/edit?usp=sharing"",""อุบลราชธานี!J487"")"),2.48)</f>
        <v>2.48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IFERROR(__xludf.DUMMYFUNCTION("IMPORTRANGE(""https://docs.google.com/spreadsheets/d/1XL5vhW3sbDhbH9Cz0tuDiY8C3ctxq1tqvaCgkFb8cCA/edit?usp=sharing"",""อุบลราชธานี!I488"")"),100)</f>
        <v>100</v>
      </c>
      <c r="J593" s="188">
        <f ca="1">IFERROR(__xludf.DUMMYFUNCTION("IMPORTRANGE(""https://docs.google.com/spreadsheets/d/1XL5vhW3sbDhbH9Cz0tuDiY8C3ctxq1tqvaCgkFb8cCA/edit?usp=sharing"",""อุบลราชธานี!J488"")"),53)</f>
        <v>53</v>
      </c>
      <c r="K593" s="163">
        <f t="shared" ca="1" si="125"/>
        <v>53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IFERROR(__xludf.DUMMYFUNCTION("IMPORTRANGE(""https://docs.google.com/spreadsheets/d/1XL5vhW3sbDhbH9Cz0tuDiY8C3ctxq1tqvaCgkFb8cCA/edit?usp=sharing"",""อุบลราชธานี!I489"")"),0)</f>
        <v>0</v>
      </c>
      <c r="J594" s="188">
        <f ca="1">IFERROR(__xludf.DUMMYFUNCTION("IMPORTRANGE(""https://docs.google.com/spreadsheets/d/1XL5vhW3sbDhbH9Cz0tuDiY8C3ctxq1tqvaCgkFb8cCA/edit?usp=sharing"",""อุบลราชธานี!J489"")"),30.5)</f>
        <v>30.5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IFERROR(__xludf.DUMMYFUNCTION("IMPORTRANGE(""https://docs.google.com/spreadsheets/d/1XL5vhW3sbDhbH9Cz0tuDiY8C3ctxq1tqvaCgkFb8cCA/edit?usp=sharing"",""อุบลราชธานี!I490"")"),100)</f>
        <v>100</v>
      </c>
      <c r="J595" s="188">
        <f ca="1">IFERROR(__xludf.DUMMYFUNCTION("IMPORTRANGE(""https://docs.google.com/spreadsheets/d/1XL5vhW3sbDhbH9Cz0tuDiY8C3ctxq1tqvaCgkFb8cCA/edit?usp=sharing"",""อุบลราชธานี!J490"")"),11)</f>
        <v>11</v>
      </c>
      <c r="K595" s="163">
        <f t="shared" ca="1" si="125"/>
        <v>11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IFERROR(__xludf.DUMMYFUNCTION("IMPORTRANGE(""https://docs.google.com/spreadsheets/d/1XL5vhW3sbDhbH9Cz0tuDiY8C3ctxq1tqvaCgkFb8cCA/edit?usp=sharing"",""อุบลราชธานี!I491"")"),0)</f>
        <v>0</v>
      </c>
      <c r="J596" s="241">
        <f ca="1">IFERROR(__xludf.DUMMYFUNCTION("IMPORTRANGE(""https://docs.google.com/spreadsheets/d/1XL5vhW3sbDhbH9Cz0tuDiY8C3ctxq1tqvaCgkFb8cCA/edit?usp=sharing"",""อุบลราชธานี!J491"")"),4.12)</f>
        <v>4.12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IFERROR(__xludf.DUMMYFUNCTION("IMPORTRANGE(""https://docs.google.com/spreadsheets/d/1XL5vhW3sbDhbH9Cz0tuDiY8C3ctxq1tqvaCgkFb8cCA/edit?usp=sharing"",""อุบลราชธานี!I492"")"),50)</f>
        <v>50</v>
      </c>
      <c r="J597" s="487">
        <f ca="1">IFERROR(__xludf.DUMMYFUNCTION("IMPORTRANGE(""https://docs.google.com/spreadsheets/d/1XL5vhW3sbDhbH9Cz0tuDiY8C3ctxq1tqvaCgkFb8cCA/edit?usp=sharing"",""อุบลราชธานี!J492"")"),0)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IFERROR(__xludf.DUMMYFUNCTION("IMPORTRANGE(""https://docs.google.com/spreadsheets/d/1XL5vhW3sbDhbH9Cz0tuDiY8C3ctxq1tqvaCgkFb8cCA/edit?usp=sharing"",""อุบลราชธานี!L492"")"),4550)</f>
        <v>4550</v>
      </c>
      <c r="M597" s="412"/>
      <c r="N597" s="412">
        <f ca="1">IFERROR(__xludf.DUMMYFUNCTION("IMPORTRANGE(""https://docs.google.com/spreadsheets/d/1XL5vhW3sbDhbH9Cz0tuDiY8C3ctxq1tqvaCgkFb8cCA/edit?usp=sharing"",""อุบลราชธานี!M492"")"),720)</f>
        <v>720</v>
      </c>
      <c r="O597" s="412">
        <f t="shared" ref="O597:O601" ca="1" si="126">+IF(L597&gt;0,N597*100/L597,0)</f>
        <v>15.824175824175825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IFERROR(__xludf.DUMMYFUNCTION("IMPORTRANGE(""https://docs.google.com/spreadsheets/d/1XL5vhW3sbDhbH9Cz0tuDiY8C3ctxq1tqvaCgkFb8cCA/edit?usp=sharing"",""อุบลราชธานี!L493"")"),0)</f>
        <v>0</v>
      </c>
      <c r="M598" s="164"/>
      <c r="N598" s="169">
        <f ca="1">IFERROR(__xludf.DUMMYFUNCTION("IMPORTRANGE(""https://docs.google.com/spreadsheets/d/1XL5vhW3sbDhbH9Cz0tuDiY8C3ctxq1tqvaCgkFb8cCA/edit?usp=sharing"",""อุบลราชธานี!M493"")"),0)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IFERROR(__xludf.DUMMYFUNCTION("IMPORTRANGE(""https://docs.google.com/spreadsheets/d/1XL5vhW3sbDhbH9Cz0tuDiY8C3ctxq1tqvaCgkFb8cCA/edit?usp=sharing"",""อุบลราชธานี!L494"")"),4550)</f>
        <v>4550</v>
      </c>
      <c r="M599" s="165"/>
      <c r="N599" s="169">
        <f ca="1">IFERROR(__xludf.DUMMYFUNCTION("IMPORTRANGE(""https://docs.google.com/spreadsheets/d/1XL5vhW3sbDhbH9Cz0tuDiY8C3ctxq1tqvaCgkFb8cCA/edit?usp=sharing"",""อุบลราชธานี!M494"")"),720)</f>
        <v>720</v>
      </c>
      <c r="O599" s="169">
        <f t="shared" ca="1" si="126"/>
        <v>15.824175824175825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IFERROR(__xludf.DUMMYFUNCTION("IMPORTRANGE(""https://docs.google.com/spreadsheets/d/1XL5vhW3sbDhbH9Cz0tuDiY8C3ctxq1tqvaCgkFb8cCA/edit?usp=sharing"",""อุบลราชธานี!L495"")"),0)</f>
        <v>0</v>
      </c>
      <c r="M600" s="169"/>
      <c r="N600" s="169">
        <f ca="1">IFERROR(__xludf.DUMMYFUNCTION("IMPORTRANGE(""https://docs.google.com/spreadsheets/d/1XL5vhW3sbDhbH9Cz0tuDiY8C3ctxq1tqvaCgkFb8cCA/edit?usp=sharing"",""อุบลราชธานี!M495"")"),0)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IFERROR(__xludf.DUMMYFUNCTION("IMPORTRANGE(""https://docs.google.com/spreadsheets/d/1XL5vhW3sbDhbH9Cz0tuDiY8C3ctxq1tqvaCgkFb8cCA/edit?usp=sharing"",""อุบลราชธานี!L496"")"),4550)</f>
        <v>4550</v>
      </c>
      <c r="M601" s="169"/>
      <c r="N601" s="169">
        <f ca="1">IFERROR(__xludf.DUMMYFUNCTION("IMPORTRANGE(""https://docs.google.com/spreadsheets/d/1XL5vhW3sbDhbH9Cz0tuDiY8C3ctxq1tqvaCgkFb8cCA/edit?usp=sharing"",""อุบลราชธานี!M496"")"),720)</f>
        <v>720</v>
      </c>
      <c r="O601" s="169">
        <f t="shared" ca="1" si="126"/>
        <v>15.824175824175825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IFERROR(__xludf.DUMMYFUNCTION("IMPORTRANGE(""https://docs.google.com/spreadsheets/d/1XL5vhW3sbDhbH9Cz0tuDiY8C3ctxq1tqvaCgkFb8cCA/edit?usp=sharing"",""อุบลราชธานี!M497"")"),0)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IFERROR(__xludf.DUMMYFUNCTION("IMPORTRANGE(""https://docs.google.com/spreadsheets/d/1XL5vhW3sbDhbH9Cz0tuDiY8C3ctxq1tqvaCgkFb8cCA/edit?usp=sharing"",""อุบลราชธานี!M498"")"),0)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IFERROR(__xludf.DUMMYFUNCTION("IMPORTRANGE(""https://docs.google.com/spreadsheets/d/1XL5vhW3sbDhbH9Cz0tuDiY8C3ctxq1tqvaCgkFb8cCA/edit?usp=sharing"",""อุบลราชธานี!M499"")"),0)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IFERROR(__xludf.DUMMYFUNCTION("IMPORTRANGE(""https://docs.google.com/spreadsheets/d/1XL5vhW3sbDhbH9Cz0tuDiY8C3ctxq1tqvaCgkFb8cCA/edit?usp=sharing"",""อุบลราชธานี!M500"")"),720)</f>
        <v>720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IFERROR(__xludf.DUMMYFUNCTION("IMPORTRANGE(""https://docs.google.com/spreadsheets/d/1XL5vhW3sbDhbH9Cz0tuDiY8C3ctxq1tqvaCgkFb8cCA/edit?usp=sharing"",""อุบลราชธานี!J502"")"),0)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IFERROR(__xludf.DUMMYFUNCTION("IMPORTRANGE(""https://docs.google.com/spreadsheets/d/1XL5vhW3sbDhbH9Cz0tuDiY8C3ctxq1tqvaCgkFb8cCA/edit?usp=sharing"",""อุบลราชธานี!J503"")"),1)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IFERROR(__xludf.DUMMYFUNCTION("IMPORTRANGE(""https://docs.google.com/spreadsheets/d/1XL5vhW3sbDhbH9Cz0tuDiY8C3ctxq1tqvaCgkFb8cCA/edit?usp=sharing"",""อุบลราชธานี!J166"")"),0)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IFERROR(__xludf.DUMMYFUNCTION("IMPORTRANGE(""https://docs.google.com/spreadsheets/d/1XL5vhW3sbDhbH9Cz0tuDiY8C3ctxq1tqvaCgkFb8cCA/edit?usp=sharing"",""อุบลราชธานี!J166"")"),0)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IFERROR(__xludf.DUMMYFUNCTION("IMPORTRANGE(""https://docs.google.com/spreadsheets/d/1XL5vhW3sbDhbH9Cz0tuDiY8C3ctxq1tqvaCgkFb8cCA/edit?usp=sharing"",""อุบลราชธานี!I506"")"),50)</f>
        <v>50</v>
      </c>
      <c r="J611" s="162">
        <f ca="1">IFERROR(__xludf.DUMMYFUNCTION("IMPORTRANGE(""https://docs.google.com/spreadsheets/d/1XL5vhW3sbDhbH9Cz0tuDiY8C3ctxq1tqvaCgkFb8cCA/edit?usp=sharing"",""อุบลราชธานี!J506"")"),0)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IFERROR(__xludf.DUMMYFUNCTION("IMPORTRANGE(""https://docs.google.com/spreadsheets/d/1XL5vhW3sbDhbH9Cz0tuDiY8C3ctxq1tqvaCgkFb8cCA/edit?usp=sharing"",""อุบลราชธานี!I507"")"),0)</f>
        <v>0</v>
      </c>
      <c r="J612" s="198">
        <f ca="1">IFERROR(__xludf.DUMMYFUNCTION("IMPORTRANGE(""https://docs.google.com/spreadsheets/d/1XL5vhW3sbDhbH9Cz0tuDiY8C3ctxq1tqvaCgkFb8cCA/edit?usp=sharing"",""อุบลราชธานี!J507"")"),96)</f>
        <v>96</v>
      </c>
      <c r="K612" s="163">
        <f t="shared" ca="1" si="127"/>
        <v>192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IFERROR(__xludf.DUMMYFUNCTION("IMPORTRANGE(""https://docs.google.com/spreadsheets/d/1XL5vhW3sbDhbH9Cz0tuDiY8C3ctxq1tqvaCgkFb8cCA/edit?usp=sharing"",""อุบลราชธานี!I508"")"),0)</f>
        <v>0</v>
      </c>
      <c r="J613" s="198">
        <f ca="1">IFERROR(__xludf.DUMMYFUNCTION("IMPORTRANGE(""https://docs.google.com/spreadsheets/d/1XL5vhW3sbDhbH9Cz0tuDiY8C3ctxq1tqvaCgkFb8cCA/edit?usp=sharing"",""อุบลราชธานี!J508"")"),96)</f>
        <v>96</v>
      </c>
      <c r="K613" s="163">
        <f t="shared" ca="1" si="127"/>
        <v>192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IFERROR(__xludf.DUMMYFUNCTION("IMPORTRANGE(""https://docs.google.com/spreadsheets/d/1XL5vhW3sbDhbH9Cz0tuDiY8C3ctxq1tqvaCgkFb8cCA/edit?usp=sharing"",""อุบลราชธานี!I509"")"),0)</f>
        <v>0</v>
      </c>
      <c r="J614" s="198">
        <f ca="1">IFERROR(__xludf.DUMMYFUNCTION("IMPORTRANGE(""https://docs.google.com/spreadsheets/d/1XL5vhW3sbDhbH9Cz0tuDiY8C3ctxq1tqvaCgkFb8cCA/edit?usp=sharing"",""อุบลราชธานี!J509"")"),96)</f>
        <v>96</v>
      </c>
      <c r="K614" s="163">
        <f t="shared" ca="1" si="127"/>
        <v>192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IFERROR(__xludf.DUMMYFUNCTION("IMPORTRANGE(""https://docs.google.com/spreadsheets/d/1XL5vhW3sbDhbH9Cz0tuDiY8C3ctxq1tqvaCgkFb8cCA/edit?usp=sharing"",""อุบลราชธานี!I510"")"),0)</f>
        <v>0</v>
      </c>
      <c r="J615" s="198">
        <f ca="1">IFERROR(__xludf.DUMMYFUNCTION("IMPORTRANGE(""https://docs.google.com/spreadsheets/d/1XL5vhW3sbDhbH9Cz0tuDiY8C3ctxq1tqvaCgkFb8cCA/edit?usp=sharing"",""อุบลราชธานี!J510"")"),36)</f>
        <v>36</v>
      </c>
      <c r="K615" s="163">
        <f t="shared" ca="1" si="127"/>
        <v>72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IFERROR(__xludf.DUMMYFUNCTION("IMPORTRANGE(""https://docs.google.com/spreadsheets/d/1XL5vhW3sbDhbH9Cz0tuDiY8C3ctxq1tqvaCgkFb8cCA/edit?usp=sharing"",""อุบลราชธานี!I511"")"),0)</f>
        <v>0</v>
      </c>
      <c r="J616" s="198">
        <f ca="1">IFERROR(__xludf.DUMMYFUNCTION("IMPORTRANGE(""https://docs.google.com/spreadsheets/d/1XL5vhW3sbDhbH9Cz0tuDiY8C3ctxq1tqvaCgkFb8cCA/edit?usp=sharing"",""อุบลราชธานี!J511"")"),36)</f>
        <v>36</v>
      </c>
      <c r="K616" s="163">
        <f t="shared" ca="1" si="127"/>
        <v>72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IFERROR(__xludf.DUMMYFUNCTION("IMPORTRANGE(""https://docs.google.com/spreadsheets/d/1XL5vhW3sbDhbH9Cz0tuDiY8C3ctxq1tqvaCgkFb8cCA/edit?usp=sharing"",""อุบลราชธานี!I512"")"),0)</f>
        <v>0</v>
      </c>
      <c r="J617" s="188">
        <f ca="1">IFERROR(__xludf.DUMMYFUNCTION("IMPORTRANGE(""https://docs.google.com/spreadsheets/d/1XL5vhW3sbDhbH9Cz0tuDiY8C3ctxq1tqvaCgkFb8cCA/edit?usp=sharing"",""อุบลราชธานี!J512"")"),0)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IFERROR(__xludf.DUMMYFUNCTION("IMPORTRANGE(""https://docs.google.com/spreadsheets/d/1XL5vhW3sbDhbH9Cz0tuDiY8C3ctxq1tqvaCgkFb8cCA/edit?usp=sharing"",""อุบลราชธานี!I513"")"),0)</f>
        <v>0</v>
      </c>
      <c r="J618" s="189">
        <f ca="1">IFERROR(__xludf.DUMMYFUNCTION("IMPORTRANGE(""https://docs.google.com/spreadsheets/d/1XL5vhW3sbDhbH9Cz0tuDiY8C3ctxq1tqvaCgkFb8cCA/edit?usp=sharing"",""อุบลราชธานี!J513"")"),0)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IFERROR(__xludf.DUMMYFUNCTION("IMPORTRANGE(""https://docs.google.com/spreadsheets/d/1XL5vhW3sbDhbH9Cz0tuDiY8C3ctxq1tqvaCgkFb8cCA/edit?usp=sharing"",""อุบลราชธานี!I514"")"),0)</f>
        <v>0</v>
      </c>
      <c r="J619" s="189">
        <f ca="1">IFERROR(__xludf.DUMMYFUNCTION("IMPORTRANGE(""https://docs.google.com/spreadsheets/d/1XL5vhW3sbDhbH9Cz0tuDiY8C3ctxq1tqvaCgkFb8cCA/edit?usp=sharing"",""อุบลราชธานี!J514"")"),0)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IFERROR(__xludf.DUMMYFUNCTION("IMPORTRANGE(""https://docs.google.com/spreadsheets/d/1XL5vhW3sbDhbH9Cz0tuDiY8C3ctxq1tqvaCgkFb8cCA/edit?usp=sharing"",""อุบลราชธานี!I515"")"),0)</f>
        <v>0</v>
      </c>
      <c r="J620" s="203">
        <f ca="1">IFERROR(__xludf.DUMMYFUNCTION("IMPORTRANGE(""https://docs.google.com/spreadsheets/d/1XL5vhW3sbDhbH9Cz0tuDiY8C3ctxq1tqvaCgkFb8cCA/edit?usp=sharing"",""อุบลราชธานี!J515"")"),0)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IFERROR(__xludf.DUMMYFUNCTION("IMPORTRANGE(""https://docs.google.com/spreadsheets/d/1XL5vhW3sbDhbH9Cz0tuDiY8C3ctxq1tqvaCgkFb8cCA/edit?usp=sharing"",""อุบลราชธานี!I516"")"),0)</f>
        <v>0</v>
      </c>
      <c r="J621" s="203">
        <f ca="1">IFERROR(__xludf.DUMMYFUNCTION("IMPORTRANGE(""https://docs.google.com/spreadsheets/d/1XL5vhW3sbDhbH9Cz0tuDiY8C3ctxq1tqvaCgkFb8cCA/edit?usp=sharing"",""อุบลราชธานี!J516"")"),0)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IFERROR(__xludf.DUMMYFUNCTION("IMPORTRANGE(""https://docs.google.com/spreadsheets/d/1XL5vhW3sbDhbH9Cz0tuDiY8C3ctxq1tqvaCgkFb8cCA/edit?usp=sharing"",""อุบลราชธานี!I517"")"),0)</f>
        <v>0</v>
      </c>
      <c r="J622" s="189">
        <f ca="1">IFERROR(__xludf.DUMMYFUNCTION("IMPORTRANGE(""https://docs.google.com/spreadsheets/d/1XL5vhW3sbDhbH9Cz0tuDiY8C3ctxq1tqvaCgkFb8cCA/edit?usp=sharing"",""อุบลราชธานี!J517"")"),0)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IFERROR(__xludf.DUMMYFUNCTION("IMPORTRANGE(""https://docs.google.com/spreadsheets/d/1XL5vhW3sbDhbH9Cz0tuDiY8C3ctxq1tqvaCgkFb8cCA/edit?usp=sharing"",""อุบลราชธานี!I518"")"),0)</f>
        <v>0</v>
      </c>
      <c r="J623" s="189">
        <f ca="1">IFERROR(__xludf.DUMMYFUNCTION("IMPORTRANGE(""https://docs.google.com/spreadsheets/d/1XL5vhW3sbDhbH9Cz0tuDiY8C3ctxq1tqvaCgkFb8cCA/edit?usp=sharing"",""อุบลราชธานี!J518"")"),0)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IFERROR(__xludf.DUMMYFUNCTION("IMPORTRANGE(""https://docs.google.com/spreadsheets/d/1XL5vhW3sbDhbH9Cz0tuDiY8C3ctxq1tqvaCgkFb8cCA/edit?usp=sharing"",""อุบลราชธานี!I519"")"),0)</f>
        <v>0</v>
      </c>
      <c r="J624" s="188">
        <f ca="1">IFERROR(__xludf.DUMMYFUNCTION("IMPORTRANGE(""https://docs.google.com/spreadsheets/d/1XL5vhW3sbDhbH9Cz0tuDiY8C3ctxq1tqvaCgkFb8cCA/edit?usp=sharing"",""อุบลราชธานี!J519"")"),0)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IFERROR(__xludf.DUMMYFUNCTION("IMPORTRANGE(""https://docs.google.com/spreadsheets/d/1XL5vhW3sbDhbH9Cz0tuDiY8C3ctxq1tqvaCgkFb8cCA/edit?usp=sharing"",""อุบลราชธานี!I520"")"),0)</f>
        <v>0</v>
      </c>
      <c r="J625" s="189">
        <f ca="1">IFERROR(__xludf.DUMMYFUNCTION("IMPORTRANGE(""https://docs.google.com/spreadsheets/d/1XL5vhW3sbDhbH9Cz0tuDiY8C3ctxq1tqvaCgkFb8cCA/edit?usp=sharing"",""อุบลราชธานี!J520"")"),0)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IFERROR(__xludf.DUMMYFUNCTION("IMPORTRANGE(""https://docs.google.com/spreadsheets/d/1XL5vhW3sbDhbH9Cz0tuDiY8C3ctxq1tqvaCgkFb8cCA/edit?usp=sharing"",""อุบลราชธานี!I521"")"),0)</f>
        <v>0</v>
      </c>
      <c r="J626" s="189">
        <f ca="1">IFERROR(__xludf.DUMMYFUNCTION("IMPORTRANGE(""https://docs.google.com/spreadsheets/d/1XL5vhW3sbDhbH9Cz0tuDiY8C3ctxq1tqvaCgkFb8cCA/edit?usp=sharing"",""อุบลราชธานี!J521"")"),0)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IFERROR(__xludf.DUMMYFUNCTION("IMPORTRANGE(""https://docs.google.com/spreadsheets/d/1XL5vhW3sbDhbH9Cz0tuDiY8C3ctxq1tqvaCgkFb8cCA/edit?usp=sharing"",""อุบลราชธานี!I523"")"),5295851.07)</f>
        <v>5295851.07</v>
      </c>
      <c r="J628" s="341">
        <f ca="1">IFERROR(__xludf.DUMMYFUNCTION("IMPORTRANGE(""https://docs.google.com/spreadsheets/d/1XL5vhW3sbDhbH9Cz0tuDiY8C3ctxq1tqvaCgkFb8cCA/edit?usp=sharing"",""อุบลราชธานี!J523"")"),4742247.92)</f>
        <v>4742247.92</v>
      </c>
      <c r="K628" s="342">
        <f t="shared" ref="K628:K635" ca="1" si="129">IF(I628&gt;0,J628*100/I628,0)</f>
        <v>89.546474349778109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IFERROR(__xludf.DUMMYFUNCTION("IMPORTRANGE(""https://docs.google.com/spreadsheets/d/1XL5vhW3sbDhbH9Cz0tuDiY8C3ctxq1tqvaCgkFb8cCA/edit?usp=sharing"",""อุบลราชธานี!I524"")"),285)</f>
        <v>285</v>
      </c>
      <c r="J629" s="341">
        <f ca="1">IFERROR(__xludf.DUMMYFUNCTION("IMPORTRANGE(""https://docs.google.com/spreadsheets/d/1XL5vhW3sbDhbH9Cz0tuDiY8C3ctxq1tqvaCgkFb8cCA/edit?usp=sharing"",""อุบลราชธานี!J524"")"),212)</f>
        <v>212</v>
      </c>
      <c r="K629" s="342">
        <f t="shared" ca="1" si="129"/>
        <v>74.385964912280699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IFERROR(__xludf.DUMMYFUNCTION("IMPORTRANGE(""https://docs.google.com/spreadsheets/d/1XL5vhW3sbDhbH9Cz0tuDiY8C3ctxq1tqvaCgkFb8cCA/edit?usp=sharing"",""อุบลราชธานี!I525"")"),4427841.01)</f>
        <v>4427841.01</v>
      </c>
      <c r="J630" s="341">
        <f ca="1">IFERROR(__xludf.DUMMYFUNCTION("IMPORTRANGE(""https://docs.google.com/spreadsheets/d/1XL5vhW3sbDhbH9Cz0tuDiY8C3ctxq1tqvaCgkFb8cCA/edit?usp=sharing"",""อุบลราชธานี!J525"")"),425639.71)</f>
        <v>425639.71</v>
      </c>
      <c r="K630" s="342">
        <f t="shared" ca="1" si="129"/>
        <v>9.6128047289575118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IFERROR(__xludf.DUMMYFUNCTION("IMPORTRANGE(""https://docs.google.com/spreadsheets/d/1XL5vhW3sbDhbH9Cz0tuDiY8C3ctxq1tqvaCgkFb8cCA/edit?usp=sharing"",""อุบลราชธานี!I526"")"),261)</f>
        <v>261</v>
      </c>
      <c r="J631" s="341">
        <f ca="1">IFERROR(__xludf.DUMMYFUNCTION("IMPORTRANGE(""https://docs.google.com/spreadsheets/d/1XL5vhW3sbDhbH9Cz0tuDiY8C3ctxq1tqvaCgkFb8cCA/edit?usp=sharing"",""อุบลราชธานี!J526"")"),77)</f>
        <v>77</v>
      </c>
      <c r="K631" s="342">
        <f t="shared" ca="1" si="129"/>
        <v>29.501915708812259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IFERROR(__xludf.DUMMYFUNCTION("IMPORTRANGE(""https://docs.google.com/spreadsheets/d/1XL5vhW3sbDhbH9Cz0tuDiY8C3ctxq1tqvaCgkFb8cCA/edit?usp=sharing"",""อุบลราชธานี!I527"")"),336057.49)</f>
        <v>336057.49</v>
      </c>
      <c r="J632" s="341">
        <f ca="1">IFERROR(__xludf.DUMMYFUNCTION("IMPORTRANGE(""https://docs.google.com/spreadsheets/d/1XL5vhW3sbDhbH9Cz0tuDiY8C3ctxq1tqvaCgkFb8cCA/edit?usp=sharing"",""อุบลราชธานี!J527"")"),361827.42)</f>
        <v>361827.42</v>
      </c>
      <c r="K632" s="342">
        <f t="shared" ca="1" si="129"/>
        <v>107.66830996684526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IFERROR(__xludf.DUMMYFUNCTION("IMPORTRANGE(""https://docs.google.com/spreadsheets/d/1XL5vhW3sbDhbH9Cz0tuDiY8C3ctxq1tqvaCgkFb8cCA/edit?usp=sharing"",""อุบลราชธานี!I528"")"),165)</f>
        <v>165</v>
      </c>
      <c r="J633" s="341">
        <f ca="1">IFERROR(__xludf.DUMMYFUNCTION("IMPORTRANGE(""https://docs.google.com/spreadsheets/d/1XL5vhW3sbDhbH9Cz0tuDiY8C3ctxq1tqvaCgkFb8cCA/edit?usp=sharing"",""อุบลราชธานี!J528"")"),92)</f>
        <v>92</v>
      </c>
      <c r="K633" s="342">
        <f t="shared" ca="1" si="129"/>
        <v>55.757575757575758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IFERROR(__xludf.DUMMYFUNCTION("IMPORTRANGE(""https://docs.google.com/spreadsheets/d/1XL5vhW3sbDhbH9Cz0tuDiY8C3ctxq1tqvaCgkFb8cCA/edit?usp=sharing"",""อุบลราชธานี!I529"")"),7730000)</f>
        <v>7730000</v>
      </c>
      <c r="J634" s="341">
        <f ca="1">IFERROR(__xludf.DUMMYFUNCTION("IMPORTRANGE(""https://docs.google.com/spreadsheets/d/1XL5vhW3sbDhbH9Cz0tuDiY8C3ctxq1tqvaCgkFb8cCA/edit?usp=sharing"",""อุบลราชธานี!J529"")"),4825000)</f>
        <v>4825000</v>
      </c>
      <c r="K634" s="342">
        <f t="shared" ca="1" si="129"/>
        <v>62.419146183699873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IFERROR(__xludf.DUMMYFUNCTION("IMPORTRANGE(""https://docs.google.com/spreadsheets/d/1XL5vhW3sbDhbH9Cz0tuDiY8C3ctxq1tqvaCgkFb8cCA/edit?usp=sharing"",""อุบลราชธานี!I530"")"),189)</f>
        <v>189</v>
      </c>
      <c r="J635" s="504">
        <f ca="1">IFERROR(__xludf.DUMMYFUNCTION("IMPORTRANGE(""https://docs.google.com/spreadsheets/d/1XL5vhW3sbDhbH9Cz0tuDiY8C3ctxq1tqvaCgkFb8cCA/edit?usp=sharing"",""อุบลราชธานี!J530"")"),115)</f>
        <v>115</v>
      </c>
      <c r="K635" s="486">
        <f t="shared" ca="1" si="129"/>
        <v>60.846560846560848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12" sqref="J12"/>
      <selection pane="bottomLeft" activeCell="H568" sqref="H568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5.36328125" bestFit="1" customWidth="1"/>
    <col min="10" max="10" width="13.906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56" t="s">
        <v>0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</row>
    <row r="2" spans="1:16" ht="18" customHeight="1" x14ac:dyDescent="0.35">
      <c r="A2" s="556" t="s">
        <v>240</v>
      </c>
      <c r="B2" s="556"/>
      <c r="C2" s="556"/>
      <c r="D2" s="556"/>
      <c r="E2" s="556"/>
      <c r="F2" s="556"/>
      <c r="G2" s="556"/>
      <c r="H2" s="556"/>
      <c r="I2" s="556"/>
      <c r="J2" s="556"/>
      <c r="K2" s="556"/>
      <c r="L2" s="556"/>
      <c r="M2" s="556"/>
      <c r="N2" s="556"/>
      <c r="O2" s="556"/>
      <c r="P2" s="556"/>
    </row>
    <row r="3" spans="1:16" ht="18" customHeight="1" x14ac:dyDescent="0.35">
      <c r="A3" s="556" t="s">
        <v>278</v>
      </c>
      <c r="B3" s="556"/>
      <c r="C3" s="556"/>
      <c r="D3" s="556"/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6"/>
      <c r="P3" s="55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64" t="s">
        <v>2</v>
      </c>
      <c r="B5" s="565"/>
      <c r="C5" s="565"/>
      <c r="D5" s="565"/>
      <c r="E5" s="565"/>
      <c r="F5" s="565"/>
      <c r="G5" s="566"/>
      <c r="H5" s="557" t="s">
        <v>3</v>
      </c>
      <c r="I5" s="559" t="s">
        <v>4</v>
      </c>
      <c r="J5" s="560"/>
      <c r="K5" s="561"/>
      <c r="L5" s="562" t="s">
        <v>5</v>
      </c>
      <c r="M5" s="561"/>
      <c r="N5" s="563" t="s">
        <v>6</v>
      </c>
      <c r="O5" s="560"/>
      <c r="P5" s="561"/>
    </row>
    <row r="6" spans="1:16" ht="21.75" customHeight="1" x14ac:dyDescent="0.35">
      <c r="A6" s="567"/>
      <c r="B6" s="568"/>
      <c r="C6" s="568"/>
      <c r="D6" s="568"/>
      <c r="E6" s="568"/>
      <c r="F6" s="568"/>
      <c r="G6" s="569"/>
      <c r="H6" s="55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0" t="s">
        <v>15</v>
      </c>
      <c r="B7" s="560"/>
      <c r="C7" s="560"/>
      <c r="D7" s="560"/>
      <c r="E7" s="560"/>
      <c r="F7" s="560"/>
      <c r="G7" s="56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1" t="s">
        <v>17</v>
      </c>
      <c r="E8" s="555"/>
      <c r="F8" s="555"/>
      <c r="G8" s="555"/>
      <c r="H8" s="20" t="s">
        <v>12</v>
      </c>
      <c r="I8" s="21"/>
      <c r="J8" s="21"/>
      <c r="K8" s="22"/>
      <c r="L8" s="23">
        <f t="shared" ref="L8:N8" ca="1" si="0">L9+L10</f>
        <v>6968271</v>
      </c>
      <c r="M8" s="23">
        <f t="shared" ca="1" si="0"/>
        <v>3290739</v>
      </c>
      <c r="N8" s="23">
        <f t="shared" ca="1" si="0"/>
        <v>3365842.23</v>
      </c>
      <c r="O8" s="22">
        <f t="shared" ref="O8:O16" ca="1" si="1">IF(L8&gt;0,N8*100/L8,0)</f>
        <v>48.302401413492674</v>
      </c>
      <c r="P8" s="22">
        <f t="shared" ref="P8:P16" ca="1" si="2">IF(M8&gt;0,N8*100/M8,0)</f>
        <v>102.28226030687939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6968271</v>
      </c>
      <c r="M10" s="30">
        <f t="shared" ca="1" si="4"/>
        <v>3290739</v>
      </c>
      <c r="N10" s="30">
        <f t="shared" ca="1" si="4"/>
        <v>3365842.23</v>
      </c>
      <c r="O10" s="29">
        <f t="shared" ca="1" si="1"/>
        <v>48.302401413492674</v>
      </c>
      <c r="P10" s="29">
        <f t="shared" ca="1" si="2"/>
        <v>102.28226030687939</v>
      </c>
    </row>
    <row r="11" spans="1:16" ht="21.75" customHeight="1" x14ac:dyDescent="0.45">
      <c r="A11" s="31"/>
      <c r="B11" s="32"/>
      <c r="C11" s="33" t="s">
        <v>16</v>
      </c>
      <c r="D11" s="572" t="s">
        <v>20</v>
      </c>
      <c r="E11" s="553"/>
      <c r="F11" s="55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6718871</v>
      </c>
      <c r="M12" s="38">
        <f t="shared" ca="1" si="6"/>
        <v>3041339</v>
      </c>
      <c r="N12" s="38">
        <f t="shared" ca="1" si="6"/>
        <v>3116442.23</v>
      </c>
      <c r="O12" s="38">
        <f t="shared" ca="1" si="1"/>
        <v>46.383421113457899</v>
      </c>
      <c r="P12" s="38">
        <f t="shared" ca="1" si="2"/>
        <v>102.46941330775688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2585500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4133371</v>
      </c>
      <c r="M14" s="38">
        <f t="shared" si="8"/>
        <v>0</v>
      </c>
      <c r="N14" s="38">
        <f t="shared" ca="1" si="8"/>
        <v>810403.77</v>
      </c>
      <c r="O14" s="38">
        <f t="shared" ca="1" si="1"/>
        <v>19.606364151681522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2" t="s">
        <v>23</v>
      </c>
      <c r="E15" s="55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249400</v>
      </c>
      <c r="M16" s="38">
        <f t="shared" ca="1" si="10"/>
        <v>249400</v>
      </c>
      <c r="N16" s="38">
        <f t="shared" ca="1" si="10"/>
        <v>249400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70" t="s">
        <v>24</v>
      </c>
      <c r="B17" s="560"/>
      <c r="C17" s="560"/>
      <c r="D17" s="560"/>
      <c r="E17" s="560"/>
      <c r="F17" s="560"/>
      <c r="G17" s="56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1" t="s">
        <v>17</v>
      </c>
      <c r="E18" s="555"/>
      <c r="F18" s="555"/>
      <c r="G18" s="555"/>
      <c r="H18" s="20" t="s">
        <v>12</v>
      </c>
      <c r="I18" s="21"/>
      <c r="J18" s="21"/>
      <c r="K18" s="22"/>
      <c r="L18" s="23">
        <f t="shared" ref="L18:N18" ca="1" si="11">L19+L20</f>
        <v>4233350</v>
      </c>
      <c r="M18" s="23">
        <f t="shared" ca="1" si="11"/>
        <v>3290739</v>
      </c>
      <c r="N18" s="23">
        <f t="shared" ca="1" si="11"/>
        <v>2555438.46</v>
      </c>
      <c r="O18" s="22">
        <f t="shared" ref="O18:O20" ca="1" si="12">IF(L18&gt;0,N18*100/L18,0)</f>
        <v>60.364450376179619</v>
      </c>
      <c r="P18" s="22">
        <f t="shared" ref="P18:P26" ca="1" si="13">IF(M18&gt;0,N18*100/M18,0)</f>
        <v>77.655458545937549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4233350</v>
      </c>
      <c r="M20" s="30">
        <f t="shared" ca="1" si="15"/>
        <v>3290739</v>
      </c>
      <c r="N20" s="30">
        <f t="shared" ca="1" si="15"/>
        <v>2555438.46</v>
      </c>
      <c r="O20" s="29">
        <f t="shared" ca="1" si="12"/>
        <v>60.364450376179619</v>
      </c>
      <c r="P20" s="29">
        <f t="shared" ca="1" si="13"/>
        <v>77.655458545937549</v>
      </c>
    </row>
    <row r="21" spans="1:16" ht="21.75" customHeight="1" x14ac:dyDescent="0.45">
      <c r="A21" s="31"/>
      <c r="B21" s="32"/>
      <c r="C21" s="33" t="s">
        <v>16</v>
      </c>
      <c r="D21" s="572" t="s">
        <v>20</v>
      </c>
      <c r="E21" s="553"/>
      <c r="F21" s="55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3983950</v>
      </c>
      <c r="M22" s="41">
        <f t="shared" ca="1" si="18"/>
        <v>3041339</v>
      </c>
      <c r="N22" s="38">
        <f t="shared" ca="1" si="18"/>
        <v>2306038.46</v>
      </c>
      <c r="O22" s="38">
        <f t="shared" ca="1" si="17"/>
        <v>57.883217911871384</v>
      </c>
      <c r="P22" s="38">
        <f t="shared" ca="1" si="13"/>
        <v>75.823131193201419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2585500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1398450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2" t="s">
        <v>23</v>
      </c>
      <c r="E25" s="55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249400</v>
      </c>
      <c r="M26" s="49">
        <f t="shared" ca="1" si="22"/>
        <v>249400</v>
      </c>
      <c r="N26" s="49">
        <f t="shared" ca="1" si="22"/>
        <v>249400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70" t="s">
        <v>25</v>
      </c>
      <c r="B27" s="560"/>
      <c r="C27" s="560"/>
      <c r="D27" s="560"/>
      <c r="E27" s="560"/>
      <c r="F27" s="560"/>
      <c r="G27" s="56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1" t="s">
        <v>17</v>
      </c>
      <c r="E28" s="555"/>
      <c r="F28" s="555"/>
      <c r="G28" s="555"/>
      <c r="H28" s="20" t="s">
        <v>12</v>
      </c>
      <c r="I28" s="21"/>
      <c r="J28" s="21"/>
      <c r="K28" s="22"/>
      <c r="L28" s="23">
        <f t="shared" ref="L28:N28" ca="1" si="23">L29+L30</f>
        <v>2734921</v>
      </c>
      <c r="M28" s="23">
        <f t="shared" si="23"/>
        <v>0</v>
      </c>
      <c r="N28" s="23">
        <f t="shared" ca="1" si="23"/>
        <v>810403.77</v>
      </c>
      <c r="O28" s="22">
        <f t="shared" ref="O28:O30" ca="1" si="24">IF(L28&gt;0,N28*100/L28,0)</f>
        <v>29.631706729371707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2734921</v>
      </c>
      <c r="M30" s="30">
        <f t="shared" si="27"/>
        <v>0</v>
      </c>
      <c r="N30" s="30">
        <f t="shared" ca="1" si="27"/>
        <v>810403.77</v>
      </c>
      <c r="O30" s="29">
        <f t="shared" ca="1" si="24"/>
        <v>29.631706729371707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2" t="s">
        <v>20</v>
      </c>
      <c r="E31" s="553"/>
      <c r="F31" s="55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2734921</v>
      </c>
      <c r="M32" s="38">
        <f t="shared" si="30"/>
        <v>0</v>
      </c>
      <c r="N32" s="38">
        <f t="shared" ca="1" si="30"/>
        <v>810403.77</v>
      </c>
      <c r="O32" s="38">
        <f t="shared" ca="1" si="29"/>
        <v>29.631706729371707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2734921</v>
      </c>
      <c r="M34" s="38">
        <f t="shared" si="32"/>
        <v>0</v>
      </c>
      <c r="N34" s="38">
        <f t="shared" ca="1" si="32"/>
        <v>810403.77</v>
      </c>
      <c r="O34" s="38">
        <f t="shared" ca="1" si="29"/>
        <v>29.631706729371707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2" t="s">
        <v>23</v>
      </c>
      <c r="E35" s="55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4233350</v>
      </c>
      <c r="M37" s="54">
        <f t="shared" ca="1" si="33"/>
        <v>3290739</v>
      </c>
      <c r="N37" s="54">
        <f t="shared" ca="1" si="33"/>
        <v>2555438.46</v>
      </c>
      <c r="O37" s="55">
        <f t="shared" ca="1" si="29"/>
        <v>60.364450376179619</v>
      </c>
      <c r="P37" s="55">
        <f t="shared" ca="1" si="25"/>
        <v>77.655458545937549</v>
      </c>
    </row>
    <row r="38" spans="1:16" ht="21.75" customHeight="1" x14ac:dyDescent="0.45">
      <c r="A38" s="573" t="s">
        <v>27</v>
      </c>
      <c r="B38" s="560"/>
      <c r="C38" s="560"/>
      <c r="D38" s="560"/>
      <c r="E38" s="560"/>
      <c r="F38" s="560"/>
      <c r="G38" s="56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74" t="s">
        <v>28</v>
      </c>
      <c r="C39" s="555"/>
      <c r="D39" s="555"/>
      <c r="E39" s="555"/>
      <c r="F39" s="555"/>
      <c r="G39" s="55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75" t="s">
        <v>17</v>
      </c>
      <c r="E41" s="553"/>
      <c r="F41" s="553"/>
      <c r="G41" s="553"/>
      <c r="H41" s="75" t="s">
        <v>12</v>
      </c>
      <c r="I41" s="76"/>
      <c r="J41" s="76"/>
      <c r="K41" s="77"/>
      <c r="L41" s="78">
        <f t="shared" ref="L41:N41" ca="1" si="34">L42+L43</f>
        <v>888800</v>
      </c>
      <c r="M41" s="78">
        <f t="shared" ca="1" si="34"/>
        <v>666600</v>
      </c>
      <c r="N41" s="78">
        <f t="shared" ca="1" si="34"/>
        <v>489238.12</v>
      </c>
      <c r="O41" s="77">
        <f t="shared" ref="O41:O43" ca="1" si="35">IF(L41&gt;0,N41*100/L41,0)</f>
        <v>55.044792979297931</v>
      </c>
      <c r="P41" s="77">
        <f t="shared" ref="P41:P43" ca="1" si="36">IF(M41&gt;0,N41*100/M41,0)</f>
        <v>73.393057305730579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888800</v>
      </c>
      <c r="M43" s="78">
        <f t="shared" ca="1" si="38"/>
        <v>666600</v>
      </c>
      <c r="N43" s="78">
        <f t="shared" ca="1" si="38"/>
        <v>489238.12</v>
      </c>
      <c r="O43" s="77">
        <f t="shared" ca="1" si="35"/>
        <v>55.044792979297931</v>
      </c>
      <c r="P43" s="77">
        <f t="shared" ca="1" si="36"/>
        <v>73.393057305730579</v>
      </c>
    </row>
    <row r="44" spans="1:16" ht="21.75" customHeight="1" x14ac:dyDescent="0.45">
      <c r="A44" s="79"/>
      <c r="B44" s="80"/>
      <c r="C44" s="81" t="s">
        <v>16</v>
      </c>
      <c r="D44" s="552" t="s">
        <v>20</v>
      </c>
      <c r="E44" s="553"/>
      <c r="F44" s="55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888800</v>
      </c>
      <c r="M45" s="49">
        <f ca="1">IFERROR(__xludf.DUMMYFUNCTION("IMPORTRANGE(""https://docs.google.com/spreadsheets/d/1Yj_ptqi66GCucihVvJfMjLAmec39IyEx_6qawtMGysU/edit?usp=sharing"",""สบก!Q39"")"),666600)</f>
        <v>666600</v>
      </c>
      <c r="N45" s="49">
        <f ca="1">IFERROR(__xludf.DUMMYFUNCTION("IMPORTRANGE(""https://docs.google.com/spreadsheets/d/1Yj_ptqi66GCucihVvJfMjLAmec39IyEx_6qawtMGysU/edit?usp=sharing"",""สบก!R39"")"),489238.12)</f>
        <v>489238.12</v>
      </c>
      <c r="O45" s="38">
        <f ca="1">IF(L45&gt;0,N45*100/L45,0)</f>
        <v>55.044792979297931</v>
      </c>
      <c r="P45" s="38">
        <f ca="1">IF(M45&gt;0,N45*100/M45,0)</f>
        <v>73.393057305730579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IFERROR(__xludf.DUMMYFUNCTION("IMPORTRANGE(""https://docs.google.com/spreadsheets/d/1Yj_ptqi66GCucihVvJfMjLAmec39IyEx_6qawtMGysU/edit?usp=sharing"",""สบก!M39"")"),888800)</f>
        <v>888800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IFERROR(__xludf.DUMMYFUNCTION("IMPORTRANGE(""https://docs.google.com/spreadsheets/d/1Yj_ptqi66GCucihVvJfMjLAmec39IyEx_6qawtMGysU/edit?usp=sharing"",""สบก!N39"")"),0)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52" t="s">
        <v>23</v>
      </c>
      <c r="E48" s="55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IFERROR(__xludf.DUMMYFUNCTION("IMPORTRANGE(""https://docs.google.com/spreadsheets/d/1Yj_ptqi66GCucihVvJfMjLAmec39IyEx_6qawtMGysU/edit?usp=sharing"",""สบก!O39"")"),0)</f>
        <v>0</v>
      </c>
      <c r="M49" s="49"/>
      <c r="N49" s="49">
        <f ca="1">IFERROR(__xludf.DUMMYFUNCTION("IMPORTRANGE(""https://docs.google.com/spreadsheets/d/1Yj_ptqi66GCucihVvJfMjLAmec39IyEx_6qawtMGysU/edit?usp=sharing"",""สบก!S39"")"),0)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76" t="s">
        <v>32</v>
      </c>
      <c r="C52" s="553"/>
      <c r="D52" s="553"/>
      <c r="E52" s="553"/>
      <c r="F52" s="553"/>
      <c r="G52" s="55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77" t="s">
        <v>17</v>
      </c>
      <c r="E53" s="553"/>
      <c r="F53" s="553"/>
      <c r="G53" s="553"/>
      <c r="H53" s="118" t="s">
        <v>12</v>
      </c>
      <c r="I53" s="119"/>
      <c r="J53" s="119"/>
      <c r="K53" s="120"/>
      <c r="L53" s="121">
        <f t="shared" ref="L53:N53" ca="1" si="39">L54+L55</f>
        <v>726000</v>
      </c>
      <c r="M53" s="121">
        <f t="shared" ca="1" si="39"/>
        <v>557784</v>
      </c>
      <c r="N53" s="121">
        <f t="shared" ca="1" si="39"/>
        <v>462459</v>
      </c>
      <c r="O53" s="120">
        <f t="shared" ref="O53:O55" ca="1" si="40">IF(L53&gt;0,N53*100/L53,0)</f>
        <v>63.699586776859505</v>
      </c>
      <c r="P53" s="120">
        <f t="shared" ref="P53:P55" ca="1" si="41">IF(M53&gt;0,N53*100/M53,0)</f>
        <v>82.91005120261606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726000</v>
      </c>
      <c r="M55" s="121">
        <f t="shared" ca="1" si="43"/>
        <v>557784</v>
      </c>
      <c r="N55" s="121">
        <f t="shared" ca="1" si="43"/>
        <v>462459</v>
      </c>
      <c r="O55" s="120">
        <f t="shared" ca="1" si="40"/>
        <v>63.699586776859505</v>
      </c>
      <c r="P55" s="120">
        <f t="shared" ca="1" si="41"/>
        <v>82.91005120261606</v>
      </c>
    </row>
    <row r="56" spans="1:16" ht="21.75" customHeight="1" x14ac:dyDescent="0.45">
      <c r="A56" s="79"/>
      <c r="B56" s="80"/>
      <c r="C56" s="81" t="s">
        <v>16</v>
      </c>
      <c r="D56" s="552" t="s">
        <v>20</v>
      </c>
      <c r="E56" s="553"/>
      <c r="F56" s="55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726000</v>
      </c>
      <c r="M57" s="49">
        <f ca="1">IFERROR(__xludf.DUMMYFUNCTION("IMPORTRANGE(""https://docs.google.com/spreadsheets/d/1Yj_ptqi66GCucihVvJfMjLAmec39IyEx_6qawtMGysU/edit?usp=sharing"",""สบก!Z39"")"),557784)</f>
        <v>557784</v>
      </c>
      <c r="N57" s="49">
        <f ca="1">IFERROR(__xludf.DUMMYFUNCTION("IMPORTRANGE(""https://docs.google.com/spreadsheets/d/1Yj_ptqi66GCucihVvJfMjLAmec39IyEx_6qawtMGysU/edit?usp=sharing"",""สบก!AA39"")"),462459)</f>
        <v>462459</v>
      </c>
      <c r="O57" s="38">
        <f ca="1">IF(L57&gt;0,N57*100/L57,0)</f>
        <v>63.699586776859505</v>
      </c>
      <c r="P57" s="38">
        <f ca="1">IF(M57&gt;0,N57*100/M57,0)</f>
        <v>82.91005120261606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IFERROR(__xludf.DUMMYFUNCTION("IMPORTRANGE(""https://docs.google.com/spreadsheets/d/1Yj_ptqi66GCucihVvJfMjLAmec39IyEx_6qawtMGysU/edit?usp=sharing"",""สบก!V39"")"),726000)</f>
        <v>726000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IFERROR(__xludf.DUMMYFUNCTION("IMPORTRANGE(""https://docs.google.com/spreadsheets/d/1Yj_ptqi66GCucihVvJfMjLAmec39IyEx_6qawtMGysU/edit?usp=sharing"",""สบก!W39"")"),0)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52" t="s">
        <v>23</v>
      </c>
      <c r="E60" s="55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IFERROR(__xludf.DUMMYFUNCTION("IMPORTRANGE(""https://docs.google.com/spreadsheets/d/1Yj_ptqi66GCucihVvJfMjLAmec39IyEx_6qawtMGysU/edit?usp=sharing"",""สบก!X39"")"),0)</f>
        <v>0</v>
      </c>
      <c r="M61" s="49"/>
      <c r="N61" s="49">
        <f ca="1">IFERROR(__xludf.DUMMYFUNCTION("IMPORTRANGE(""https://docs.google.com/spreadsheets/d/1Yj_ptqi66GCucihVvJfMjLAmec39IyEx_6qawtMGysU/edit?usp=sharing"",""สบก!AB39"")"),0)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IFERROR(__xludf.DUMMYFUNCTION("IMPORTRANGE(""https://docs.google.com/spreadsheets/d/1XL5vhW3sbDhbH9Cz0tuDiY8C3ctxq1tqvaCgkFb8cCA/edit?usp=sharing"",""ขอนแก่น!I9"")"),1)</f>
        <v>1</v>
      </c>
      <c r="J64" s="142">
        <f ca="1">IFERROR(__xludf.DUMMYFUNCTION("IMPORTRANGE(""https://docs.google.com/spreadsheets/d/1XL5vhW3sbDhbH9Cz0tuDiY8C3ctxq1tqvaCgkFb8cCA/edit?usp=sharing"",""ขอนแก่น!J9"")"),1)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IFERROR(__xludf.DUMMYFUNCTION("IMPORTRANGE(""https://docs.google.com/spreadsheets/d/1XL5vhW3sbDhbH9Cz0tuDiY8C3ctxq1tqvaCgkFb8cCA/edit?usp=sharing"",""ขอนแก่น!I10"")"),30)</f>
        <v>30</v>
      </c>
      <c r="J65" s="142">
        <f ca="1">IFERROR(__xludf.DUMMYFUNCTION("IMPORTRANGE(""https://docs.google.com/spreadsheets/d/1XL5vhW3sbDhbH9Cz0tuDiY8C3ctxq1tqvaCgkFb8cCA/edit?usp=sharing"",""ขอนแก่น!J10"")"),30)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54" t="s">
        <v>17</v>
      </c>
      <c r="E66" s="555"/>
      <c r="F66" s="555"/>
      <c r="G66" s="555"/>
      <c r="H66" s="149" t="s">
        <v>12</v>
      </c>
      <c r="I66" s="150"/>
      <c r="J66" s="150"/>
      <c r="K66" s="151"/>
      <c r="L66" s="152">
        <f t="shared" ref="L66:N66" ca="1" si="45">L67+L68</f>
        <v>1052300</v>
      </c>
      <c r="M66" s="152">
        <f t="shared" ca="1" si="45"/>
        <v>872320</v>
      </c>
      <c r="N66" s="152">
        <f t="shared" ca="1" si="45"/>
        <v>672386.97</v>
      </c>
      <c r="O66" s="151">
        <f t="shared" ref="O66:O68" ca="1" si="46">IF(L66&gt;0,N66*100/L66,0)</f>
        <v>63.896889670246125</v>
      </c>
      <c r="P66" s="151">
        <f t="shared" ref="P66:P68" ca="1" si="47">IF(M66&gt;0,N66*100/M66,0)</f>
        <v>77.080311124358033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1052300</v>
      </c>
      <c r="M68" s="157">
        <f t="shared" ca="1" si="49"/>
        <v>872320</v>
      </c>
      <c r="N68" s="157">
        <f t="shared" ca="1" si="49"/>
        <v>672386.97</v>
      </c>
      <c r="O68" s="156">
        <f t="shared" ca="1" si="46"/>
        <v>63.896889670246125</v>
      </c>
      <c r="P68" s="156">
        <f t="shared" ca="1" si="47"/>
        <v>77.080311124358033</v>
      </c>
    </row>
    <row r="69" spans="1:16" ht="21.75" customHeight="1" x14ac:dyDescent="0.45">
      <c r="A69" s="158"/>
      <c r="B69" s="159"/>
      <c r="C69" s="159" t="s">
        <v>16</v>
      </c>
      <c r="D69" s="552" t="s">
        <v>20</v>
      </c>
      <c r="E69" s="553"/>
      <c r="F69" s="55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912300</v>
      </c>
      <c r="M70" s="168">
        <f ca="1">IFERROR(__xludf.DUMMYFUNCTION("IMPORTRANGE(""https://docs.google.com/spreadsheets/d/1Yj_ptqi66GCucihVvJfMjLAmec39IyEx_6qawtMGysU/edit?usp=sharing"",""สบก!AI39"")"),732320)</f>
        <v>732320</v>
      </c>
      <c r="N70" s="169">
        <f ca="1">IFERROR(__xludf.DUMMYFUNCTION("IMPORTRANGE(""https://docs.google.com/spreadsheets/d/1Yj_ptqi66GCucihVvJfMjLAmec39IyEx_6qawtMGysU/edit?usp=sharing"",""สบก!AJ39"")"),532386.97)</f>
        <v>532386.97</v>
      </c>
      <c r="O70" s="169">
        <f ca="1">IF(L70&gt;0,N70*100/L70,0)</f>
        <v>58.356568014907374</v>
      </c>
      <c r="P70" s="169">
        <f ca="1">IF(M70&gt;0,N70*100/M70,0)</f>
        <v>72.698679538999343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IFERROR(__xludf.DUMMYFUNCTION("IMPORTRANGE(""https://docs.google.com/spreadsheets/d/1Yj_ptqi66GCucihVvJfMjLAmec39IyEx_6qawtMGysU/edit?usp=sharing"",""สบก!AE39"")"),470300)</f>
        <v>470300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IFERROR(__xludf.DUMMYFUNCTION("IMPORTRANGE(""https://docs.google.com/spreadsheets/d/1Yj_ptqi66GCucihVvJfMjLAmec39IyEx_6qawtMGysU/edit?usp=sharing"",""สบก!AF39"")"),442000)</f>
        <v>442000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52" t="s">
        <v>23</v>
      </c>
      <c r="E73" s="55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IFERROR(__xludf.DUMMYFUNCTION("IMPORTRANGE(""https://docs.google.com/spreadsheets/d/1Yj_ptqi66GCucihVvJfMjLAmec39IyEx_6qawtMGysU/edit?usp=sharing"",""สบก!AG39"")"),140000)</f>
        <v>140000</v>
      </c>
      <c r="M74" s="49">
        <f ca="1">L74</f>
        <v>140000</v>
      </c>
      <c r="N74" s="49">
        <f ca="1">IFERROR(__xludf.DUMMYFUNCTION("IMPORTRANGE(""https://docs.google.com/spreadsheets/d/1Yj_ptqi66GCucihVvJfMjLAmec39IyEx_6qawtMGysU/edit?usp=sharing"",""สบก!AK39"")"),140000)</f>
        <v>140000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IFERROR(__xludf.DUMMYFUNCTION("IMPORTRANGE(""https://docs.google.com/spreadsheets/d/1XL5vhW3sbDhbH9Cz0tuDiY8C3ctxq1tqvaCgkFb8cCA/edit?usp=sharing"",""ขอนแก่น!J16"")"),0)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IFERROR(__xludf.DUMMYFUNCTION("IMPORTRANGE(""https://docs.google.com/spreadsheets/d/1XL5vhW3sbDhbH9Cz0tuDiY8C3ctxq1tqvaCgkFb8cCA/edit?usp=sharing"",""ขอนแก่น!J17"")"),1)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IFERROR(__xludf.DUMMYFUNCTION("IMPORTRANGE(""https://docs.google.com/spreadsheets/d/1XL5vhW3sbDhbH9Cz0tuDiY8C3ctxq1tqvaCgkFb8cCA/edit?usp=sharing"",""ขอนแก่น!J18"")"),1)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IFERROR(__xludf.DUMMYFUNCTION("IMPORTRANGE(""https://docs.google.com/spreadsheets/d/1XL5vhW3sbDhbH9Cz0tuDiY8C3ctxq1tqvaCgkFb8cCA/edit?usp=sharing"",""ขอนแก่น!J19"")"),1)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IFERROR(__xludf.DUMMYFUNCTION("IMPORTRANGE(""https://docs.google.com/spreadsheets/d/1XL5vhW3sbDhbH9Cz0tuDiY8C3ctxq1tqvaCgkFb8cCA/edit?usp=sharing"",""ขอนแก่น!I20"")"),1)</f>
        <v>1</v>
      </c>
      <c r="J80" s="201">
        <f ca="1">IFERROR(__xludf.DUMMYFUNCTION("IMPORTRANGE(""https://docs.google.com/spreadsheets/d/1XL5vhW3sbDhbH9Cz0tuDiY8C3ctxq1tqvaCgkFb8cCA/edit?usp=sharing"",""ขอนแก่น!J20"")"),1)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IFERROR(__xludf.DUMMYFUNCTION("IMPORTRANGE(""https://docs.google.com/spreadsheets/d/1XL5vhW3sbDhbH9Cz0tuDiY8C3ctxq1tqvaCgkFb8cCA/edit?usp=sharing"",""ขอนแก่น!I21"")"),30)</f>
        <v>30</v>
      </c>
      <c r="J81" s="201">
        <f ca="1">IFERROR(__xludf.DUMMYFUNCTION("IMPORTRANGE(""https://docs.google.com/spreadsheets/d/1XL5vhW3sbDhbH9Cz0tuDiY8C3ctxq1tqvaCgkFb8cCA/edit?usp=sharing"",""ขอนแก่น!J21"")"),30)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IFERROR(__xludf.DUMMYFUNCTION("IMPORTRANGE(""https://docs.google.com/spreadsheets/d/1XL5vhW3sbDhbH9Cz0tuDiY8C3ctxq1tqvaCgkFb8cCA/edit?usp=sharing"",""ขอนแก่น!I22"")"),1)</f>
        <v>1</v>
      </c>
      <c r="J82" s="204">
        <f ca="1">IFERROR(__xludf.DUMMYFUNCTION("IMPORTRANGE(""https://docs.google.com/spreadsheets/d/1XL5vhW3sbDhbH9Cz0tuDiY8C3ctxq1tqvaCgkFb8cCA/edit?usp=sharing"",""ขอนแก่น!J22"")"),1)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IFERROR(__xludf.DUMMYFUNCTION("IMPORTRANGE(""https://docs.google.com/spreadsheets/d/1XL5vhW3sbDhbH9Cz0tuDiY8C3ctxq1tqvaCgkFb8cCA/edit?usp=sharing"",""ขอนแก่น!I23"")"),30)</f>
        <v>30</v>
      </c>
      <c r="J83" s="204">
        <f ca="1">IFERROR(__xludf.DUMMYFUNCTION("IMPORTRANGE(""https://docs.google.com/spreadsheets/d/1XL5vhW3sbDhbH9Cz0tuDiY8C3ctxq1tqvaCgkFb8cCA/edit?usp=sharing"",""ขอนแก่น!J23"")"),30)</f>
        <v>30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IFERROR(__xludf.DUMMYFUNCTION("IMPORTRANGE(""https://docs.google.com/spreadsheets/d/1XL5vhW3sbDhbH9Cz0tuDiY8C3ctxq1tqvaCgkFb8cCA/edit?usp=sharing"",""ขอนแก่น!I24"")"),0)</f>
        <v>0</v>
      </c>
      <c r="J84" s="189">
        <f ca="1">IFERROR(__xludf.DUMMYFUNCTION("IMPORTRANGE(""https://docs.google.com/spreadsheets/d/1XL5vhW3sbDhbH9Cz0tuDiY8C3ctxq1tqvaCgkFb8cCA/edit?usp=sharing"",""ขอนแก่น!J24"")"),0)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IFERROR(__xludf.DUMMYFUNCTION("IMPORTRANGE(""https://docs.google.com/spreadsheets/d/1XL5vhW3sbDhbH9Cz0tuDiY8C3ctxq1tqvaCgkFb8cCA/edit?usp=sharing"",""ขอนแก่น!I25"")"),0)</f>
        <v>0</v>
      </c>
      <c r="J85" s="189">
        <f ca="1">IFERROR(__xludf.DUMMYFUNCTION("IMPORTRANGE(""https://docs.google.com/spreadsheets/d/1XL5vhW3sbDhbH9Cz0tuDiY8C3ctxq1tqvaCgkFb8cCA/edit?usp=sharing"",""ขอนแก่น!J25"")"),0)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IFERROR(__xludf.DUMMYFUNCTION("IMPORTRANGE(""https://docs.google.com/spreadsheets/d/1XL5vhW3sbDhbH9Cz0tuDiY8C3ctxq1tqvaCgkFb8cCA/edit?usp=sharing"",""ขอนแก่น!I26"")"),0)</f>
        <v>0</v>
      </c>
      <c r="J86" s="204">
        <f ca="1">IFERROR(__xludf.DUMMYFUNCTION("IMPORTRANGE(""https://docs.google.com/spreadsheets/d/1XL5vhW3sbDhbH9Cz0tuDiY8C3ctxq1tqvaCgkFb8cCA/edit?usp=sharing"",""ขอนแก่น!J26"")"),0)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IFERROR(__xludf.DUMMYFUNCTION("IMPORTRANGE(""https://docs.google.com/spreadsheets/d/1XL5vhW3sbDhbH9Cz0tuDiY8C3ctxq1tqvaCgkFb8cCA/edit?usp=sharing"",""ขอนแก่น!I27"")"),0)</f>
        <v>0</v>
      </c>
      <c r="J87" s="204">
        <f ca="1">IFERROR(__xludf.DUMMYFUNCTION("IMPORTRANGE(""https://docs.google.com/spreadsheets/d/1XL5vhW3sbDhbH9Cz0tuDiY8C3ctxq1tqvaCgkFb8cCA/edit?usp=sharing"",""ขอนแก่น!J27"")"),0)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IFERROR(__xludf.DUMMYFUNCTION("IMPORTRANGE(""https://docs.google.com/spreadsheets/d/1XL5vhW3sbDhbH9Cz0tuDiY8C3ctxq1tqvaCgkFb8cCA/edit?usp=sharing"",""ขอนแก่น!I28"")"),30)</f>
        <v>30</v>
      </c>
      <c r="J88" s="204">
        <f ca="1">IFERROR(__xludf.DUMMYFUNCTION("IMPORTRANGE(""https://docs.google.com/spreadsheets/d/1XL5vhW3sbDhbH9Cz0tuDiY8C3ctxq1tqvaCgkFb8cCA/edit?usp=sharing"",""ขอนแก่น!J28"")"),30)</f>
        <v>30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IFERROR(__xludf.DUMMYFUNCTION("IMPORTRANGE(""https://docs.google.com/spreadsheets/d/1XL5vhW3sbDhbH9Cz0tuDiY8C3ctxq1tqvaCgkFb8cCA/edit?usp=sharing"",""ขอนแก่น!J29"")"),0)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IFERROR(__xludf.DUMMYFUNCTION("IMPORTRANGE(""https://docs.google.com/spreadsheets/d/1XL5vhW3sbDhbH9Cz0tuDiY8C3ctxq1tqvaCgkFb8cCA/edit?usp=sharing"",""ขอนแก่น!J30"")"),0)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IFERROR(__xludf.DUMMYFUNCTION("IMPORTRANGE(""https://docs.google.com/spreadsheets/d/1XL5vhW3sbDhbH9Cz0tuDiY8C3ctxq1tqvaCgkFb8cCA/edit?usp=sharing"",""ขอนแก่น!I32"")"),4)</f>
        <v>4</v>
      </c>
      <c r="J92" s="142">
        <f ca="1">IFERROR(__xludf.DUMMYFUNCTION("IMPORTRANGE(""https://docs.google.com/spreadsheets/d/1XL5vhW3sbDhbH9Cz0tuDiY8C3ctxq1tqvaCgkFb8cCA/edit?usp=sharing"",""ขอนแก่น!J32"")"),4)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IFERROR(__xludf.DUMMYFUNCTION("IMPORTRANGE(""https://docs.google.com/spreadsheets/d/1XL5vhW3sbDhbH9Cz0tuDiY8C3ctxq1tqvaCgkFb8cCA/edit?usp=sharing"",""ขอนแก่น!I33"")"),1)</f>
        <v>1</v>
      </c>
      <c r="J93" s="142">
        <f ca="1">IFERROR(__xludf.DUMMYFUNCTION("IMPORTRANGE(""https://docs.google.com/spreadsheets/d/1XL5vhW3sbDhbH9Cz0tuDiY8C3ctxq1tqvaCgkFb8cCA/edit?usp=sharing"",""ขอนแก่น!J33"")"),1)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54" t="s">
        <v>17</v>
      </c>
      <c r="E94" s="555"/>
      <c r="F94" s="555"/>
      <c r="G94" s="555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118770</v>
      </c>
      <c r="O94" s="151">
        <f t="shared" ref="O94:O96" ca="1" si="53">IF(L94&gt;0,N94*100/L94,0)</f>
        <v>55.370629370629374</v>
      </c>
      <c r="P94" s="151">
        <f t="shared" ref="P94:P96" ca="1" si="54">IF(M94&gt;0,N94*100/M94,0)</f>
        <v>55.370629370629374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118770</v>
      </c>
      <c r="O96" s="156">
        <f t="shared" ca="1" si="53"/>
        <v>55.370629370629374</v>
      </c>
      <c r="P96" s="156">
        <f t="shared" ca="1" si="54"/>
        <v>55.370629370629374</v>
      </c>
    </row>
    <row r="97" spans="1:16" ht="21.75" customHeight="1" x14ac:dyDescent="0.45">
      <c r="A97" s="158"/>
      <c r="B97" s="159"/>
      <c r="C97" s="159" t="s">
        <v>16</v>
      </c>
      <c r="D97" s="552" t="s">
        <v>20</v>
      </c>
      <c r="E97" s="553"/>
      <c r="F97" s="55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IFERROR(__xludf.DUMMYFUNCTION("IMPORTRANGE(""https://docs.google.com/spreadsheets/d/1Yj_ptqi66GCucihVvJfMjLAmec39IyEx_6qawtMGysU/edit?usp=sharing"",""สบก!AR39"")"),122100)</f>
        <v>122100</v>
      </c>
      <c r="N98" s="169">
        <f ca="1">IFERROR(__xludf.DUMMYFUNCTION("IMPORTRANGE(""https://docs.google.com/spreadsheets/d/1Yj_ptqi66GCucihVvJfMjLAmec39IyEx_6qawtMGysU/edit?usp=sharing"",""สบก!AS39"")"),26370)</f>
        <v>26370</v>
      </c>
      <c r="O98" s="169">
        <f ca="1">IF(L98&gt;0,N98*100/L98,0)</f>
        <v>21.597051597051596</v>
      </c>
      <c r="P98" s="169">
        <f ca="1">IF(M98&gt;0,N98*100/M98,0)</f>
        <v>21.597051597051596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IFERROR(__xludf.DUMMYFUNCTION("IMPORTRANGE(""https://docs.google.com/spreadsheets/d/1Yj_ptqi66GCucihVvJfMjLAmec39IyEx_6qawtMGysU/edit?usp=sharing"",""สบก!AN39"")"),0)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IFERROR(__xludf.DUMMYFUNCTION("IMPORTRANGE(""https://docs.google.com/spreadsheets/d/1Yj_ptqi66GCucihVvJfMjLAmec39IyEx_6qawtMGysU/edit?usp=sharing"",""สบก!AO39"")"),122100)</f>
        <v>122100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52" t="s">
        <v>23</v>
      </c>
      <c r="E101" s="55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IFERROR(__xludf.DUMMYFUNCTION("IMPORTRANGE(""https://docs.google.com/spreadsheets/d/1Yj_ptqi66GCucihVvJfMjLAmec39IyEx_6qawtMGysU/edit?usp=sharing"",""สบก!AP39"")"),92400)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IFERROR(__xludf.DUMMYFUNCTION("IMPORTRANGE(""https://docs.google.com/spreadsheets/d/1Yj_ptqi66GCucihVvJfMjLAmec39IyEx_6qawtMGysU/edit?usp=sharing"",""สบก!AT39"")"),92400)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IFERROR(__xludf.DUMMYFUNCTION("IMPORTRANGE(""https://docs.google.com/spreadsheets/d/1XL5vhW3sbDhbH9Cz0tuDiY8C3ctxq1tqvaCgkFb8cCA/edit?usp=sharing"",""ขอนแก่น!J39"")"),0)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IFERROR(__xludf.DUMMYFUNCTION("IMPORTRANGE(""https://docs.google.com/spreadsheets/d/1XL5vhW3sbDhbH9Cz0tuDiY8C3ctxq1tqvaCgkFb8cCA/edit?usp=sharing"",""ขอนแก่น!J40"")"),1)</f>
        <v>1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IFERROR(__xludf.DUMMYFUNCTION("IMPORTRANGE(""https://docs.google.com/spreadsheets/d/1XL5vhW3sbDhbH9Cz0tuDiY8C3ctxq1tqvaCgkFb8cCA/edit?usp=sharing"",""ขอนแก่น!J41"")"),1)</f>
        <v>1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IFERROR(__xludf.DUMMYFUNCTION("IMPORTRANGE(""https://docs.google.com/spreadsheets/d/1XL5vhW3sbDhbH9Cz0tuDiY8C3ctxq1tqvaCgkFb8cCA/edit?usp=sharing"",""ขอนแก่น!J42"")"),1)</f>
        <v>1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IFERROR(__xludf.DUMMYFUNCTION("IMPORTRANGE(""https://docs.google.com/spreadsheets/d/1XL5vhW3sbDhbH9Cz0tuDiY8C3ctxq1tqvaCgkFb8cCA/edit?usp=sharing"",""ขอนแก่น!I43"")"),1)</f>
        <v>1</v>
      </c>
      <c r="J108" s="204">
        <f ca="1">IFERROR(__xludf.DUMMYFUNCTION("IMPORTRANGE(""https://docs.google.com/spreadsheets/d/1XL5vhW3sbDhbH9Cz0tuDiY8C3ctxq1tqvaCgkFb8cCA/edit?usp=sharing"",""ขอนแก่น!J43"")"),0)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IFERROR(__xludf.DUMMYFUNCTION("IMPORTRANGE(""https://docs.google.com/spreadsheets/d/1XL5vhW3sbDhbH9Cz0tuDiY8C3ctxq1tqvaCgkFb8cCA/edit?usp=sharing"",""ขอนแก่น!I44"")"),4)</f>
        <v>4</v>
      </c>
      <c r="J109" s="204">
        <f ca="1">IFERROR(__xludf.DUMMYFUNCTION("IMPORTRANGE(""https://docs.google.com/spreadsheets/d/1XL5vhW3sbDhbH9Cz0tuDiY8C3ctxq1tqvaCgkFb8cCA/edit?usp=sharing"",""ขอนแก่น!J44"")"),4)</f>
        <v>4</v>
      </c>
      <c r="K109" s="224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IFERROR(__xludf.DUMMYFUNCTION("IMPORTRANGE(""https://docs.google.com/spreadsheets/d/1XL5vhW3sbDhbH9Cz0tuDiY8C3ctxq1tqvaCgkFb8cCA/edit?usp=sharing"",""ขอนแก่น!I45"")"),4)</f>
        <v>4</v>
      </c>
      <c r="J110" s="204">
        <f ca="1">IFERROR(__xludf.DUMMYFUNCTION("IMPORTRANGE(""https://docs.google.com/spreadsheets/d/1XL5vhW3sbDhbH9Cz0tuDiY8C3ctxq1tqvaCgkFb8cCA/edit?usp=sharing"",""ขอนแก่น!J45"")"),4)</f>
        <v>4</v>
      </c>
      <c r="K110" s="224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IFERROR(__xludf.DUMMYFUNCTION("IMPORTRANGE(""https://docs.google.com/spreadsheets/d/1XL5vhW3sbDhbH9Cz0tuDiY8C3ctxq1tqvaCgkFb8cCA/edit?usp=sharing"",""ขอนแก่น!I46"")"),4)</f>
        <v>4</v>
      </c>
      <c r="J111" s="204">
        <f ca="1">IFERROR(__xludf.DUMMYFUNCTION("IMPORTRANGE(""https://docs.google.com/spreadsheets/d/1XL5vhW3sbDhbH9Cz0tuDiY8C3ctxq1tqvaCgkFb8cCA/edit?usp=sharing"",""ขอนแก่น!J46"")"),4)</f>
        <v>4</v>
      </c>
      <c r="K111" s="224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IFERROR(__xludf.DUMMYFUNCTION("IMPORTRANGE(""https://docs.google.com/spreadsheets/d/1XL5vhW3sbDhbH9Cz0tuDiY8C3ctxq1tqvaCgkFb8cCA/edit?usp=sharing"",""ขอนแก่น!I47"")"),4)</f>
        <v>4</v>
      </c>
      <c r="J112" s="204">
        <f ca="1">IFERROR(__xludf.DUMMYFUNCTION("IMPORTRANGE(""https://docs.google.com/spreadsheets/d/1XL5vhW3sbDhbH9Cz0tuDiY8C3ctxq1tqvaCgkFb8cCA/edit?usp=sharing"",""ขอนแก่น!J47"")"),4)</f>
        <v>4</v>
      </c>
      <c r="K112" s="224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IFERROR(__xludf.DUMMYFUNCTION("IMPORTRANGE(""https://docs.google.com/spreadsheets/d/1XL5vhW3sbDhbH9Cz0tuDiY8C3ctxq1tqvaCgkFb8cCA/edit?usp=sharing"",""ขอนแก่น!I48"")"),1)</f>
        <v>1</v>
      </c>
      <c r="J113" s="204">
        <f ca="1">IFERROR(__xludf.DUMMYFUNCTION("IMPORTRANGE(""https://docs.google.com/spreadsheets/d/1XL5vhW3sbDhbH9Cz0tuDiY8C3ctxq1tqvaCgkFb8cCA/edit?usp=sharing"",""ขอนแก่น!J48"")"),1)</f>
        <v>1</v>
      </c>
      <c r="K113" s="224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IFERROR(__xludf.DUMMYFUNCTION("IMPORTRANGE(""https://docs.google.com/spreadsheets/d/1XL5vhW3sbDhbH9Cz0tuDiY8C3ctxq1tqvaCgkFb8cCA/edit?usp=sharing"",""ขอนแก่น!J49"")"),0)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IFERROR(__xludf.DUMMYFUNCTION("IMPORTRANGE(""https://docs.google.com/spreadsheets/d/1XL5vhW3sbDhbH9Cz0tuDiY8C3ctxq1tqvaCgkFb8cCA/edit?usp=sharing"",""ขอนแก่น!J50"")"),0)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IFERROR(__xludf.DUMMYFUNCTION("IMPORTRANGE(""https://docs.google.com/spreadsheets/d/1XL5vhW3sbDhbH9Cz0tuDiY8C3ctxq1tqvaCgkFb8cCA/edit?usp=sharing"",""ขอนแก่น!I52"")"),0)</f>
        <v>0</v>
      </c>
      <c r="J117" s="142">
        <f ca="1">IFERROR(__xludf.DUMMYFUNCTION("IMPORTRANGE(""https://docs.google.com/spreadsheets/d/1XL5vhW3sbDhbH9Cz0tuDiY8C3ctxq1tqvaCgkFb8cCA/edit?usp=sharing"",""ขอนแก่น!J52"")"),0)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54" t="s">
        <v>17</v>
      </c>
      <c r="E118" s="555"/>
      <c r="F118" s="555"/>
      <c r="G118" s="55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52" t="s">
        <v>20</v>
      </c>
      <c r="E121" s="553"/>
      <c r="F121" s="55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IFERROR(__xludf.DUMMYFUNCTION("IMPORTRANGE(""https://docs.google.com/spreadsheets/d/1Yj_ptqi66GCucihVvJfMjLAmec39IyEx_6qawtMGysU/edit?usp=sharing"",""สบก!BA39"")"),0)</f>
        <v>0</v>
      </c>
      <c r="N122" s="169">
        <f ca="1">IFERROR(__xludf.DUMMYFUNCTION("IMPORTRANGE(""https://docs.google.com/spreadsheets/d/1Yj_ptqi66GCucihVvJfMjLAmec39IyEx_6qawtMGysU/edit?usp=sharing"",""สบก!BB39"")"),0)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IFERROR(__xludf.DUMMYFUNCTION("IMPORTRANGE(""https://docs.google.com/spreadsheets/d/1Yj_ptqi66GCucihVvJfMjLAmec39IyEx_6qawtMGysU/edit?usp=sharing"",""สบก!AW39"")"),0)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IFERROR(__xludf.DUMMYFUNCTION("IMPORTRANGE(""https://docs.google.com/spreadsheets/d/1Yj_ptqi66GCucihVvJfMjLAmec39IyEx_6qawtMGysU/edit?usp=sharing"",""สบก!AX39"")"),0)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52" t="s">
        <v>23</v>
      </c>
      <c r="E125" s="55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IFERROR(__xludf.DUMMYFUNCTION("IMPORTRANGE(""https://docs.google.com/spreadsheets/d/1Yj_ptqi66GCucihVvJfMjLAmec39IyEx_6qawtMGysU/edit?usp=sharing"",""สบก!AY39"")"),0)</f>
        <v>0</v>
      </c>
      <c r="M126" s="49"/>
      <c r="N126" s="49">
        <f ca="1">IFERROR(__xludf.DUMMYFUNCTION("IMPORTRANGE(""https://docs.google.com/spreadsheets/d/1Yj_ptqi66GCucihVvJfMjLAmec39IyEx_6qawtMGysU/edit?usp=sharing"",""สบก!BC39"")"),0)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3" t="s">
        <v>241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IFERROR(__xludf.DUMMYFUNCTION("IMPORTRANGE(""https://docs.google.com/spreadsheets/d/1XL5vhW3sbDhbH9Cz0tuDiY8C3ctxq1tqvaCgkFb8cCA/edit?usp=sharing"",""ขอนแก่น!J58"")"),0)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IFERROR(__xludf.DUMMYFUNCTION("IMPORTRANGE(""https://docs.google.com/spreadsheets/d/1XL5vhW3sbDhbH9Cz0tuDiY8C3ctxq1tqvaCgkFb8cCA/edit?usp=sharing"",""ขอนแก่น!J59"")"),0)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IFERROR(__xludf.DUMMYFUNCTION("IMPORTRANGE(""https://docs.google.com/spreadsheets/d/1XL5vhW3sbDhbH9Cz0tuDiY8C3ctxq1tqvaCgkFb8cCA/edit?usp=sharing"",""ขอนแก่น!J60"")"),0)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IFERROR(__xludf.DUMMYFUNCTION("IMPORTRANGE(""https://docs.google.com/spreadsheets/d/1XL5vhW3sbDhbH9Cz0tuDiY8C3ctxq1tqvaCgkFb8cCA/edit?usp=sharing"",""ขอนแก่น!J61"")"),0)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IFERROR(__xludf.DUMMYFUNCTION("IMPORTRANGE(""https://docs.google.com/spreadsheets/d/1XL5vhW3sbDhbH9Cz0tuDiY8C3ctxq1tqvaCgkFb8cCA/edit?usp=sharing"",""ขอนแก่น!I62"")"),0)</f>
        <v>0</v>
      </c>
      <c r="J132" s="204">
        <f ca="1">IFERROR(__xludf.DUMMYFUNCTION("IMPORTRANGE(""https://docs.google.com/spreadsheets/d/1XL5vhW3sbDhbH9Cz0tuDiY8C3ctxq1tqvaCgkFb8cCA/edit?usp=sharing"",""ขอนแก่น!J62"")"),0)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IFERROR(__xludf.DUMMYFUNCTION("IMPORTRANGE(""https://docs.google.com/spreadsheets/d/1XL5vhW3sbDhbH9Cz0tuDiY8C3ctxq1tqvaCgkFb8cCA/edit?usp=sharing"",""ขอนแก่น!I63"")"),0)</f>
        <v>0</v>
      </c>
      <c r="J133" s="204">
        <f ca="1">IFERROR(__xludf.DUMMYFUNCTION("IMPORTRANGE(""https://docs.google.com/spreadsheets/d/1XL5vhW3sbDhbH9Cz0tuDiY8C3ctxq1tqvaCgkFb8cCA/edit?usp=sharing"",""ขอนแก่น!J63"")"),0)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IFERROR(__xludf.DUMMYFUNCTION("IMPORTRANGE(""https://docs.google.com/spreadsheets/d/1XL5vhW3sbDhbH9Cz0tuDiY8C3ctxq1tqvaCgkFb8cCA/edit?usp=sharing"",""ขอนแก่น!J64"")"),0)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IFERROR(__xludf.DUMMYFUNCTION("IMPORTRANGE(""https://docs.google.com/spreadsheets/d/1XL5vhW3sbDhbH9Cz0tuDiY8C3ctxq1tqvaCgkFb8cCA/edit?usp=sharing"",""ขอนแก่น!J65"")"),0)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IFERROR(__xludf.DUMMYFUNCTION("IMPORTRANGE(""https://docs.google.com/spreadsheets/d/1XL5vhW3sbDhbH9Cz0tuDiY8C3ctxq1tqvaCgkFb8cCA/edit?usp=sharing"",""ขอนแก่น!I68"")"),0)</f>
        <v>0</v>
      </c>
      <c r="J138" s="267">
        <f ca="1">IFERROR(__xludf.DUMMYFUNCTION("IMPORTRANGE(""https://docs.google.com/spreadsheets/d/1XL5vhW3sbDhbH9Cz0tuDiY8C3ctxq1tqvaCgkFb8cCA/edit?usp=sharing"",""ขอนแก่น!J68"")"),0)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54" t="s">
        <v>17</v>
      </c>
      <c r="E140" s="555"/>
      <c r="F140" s="555"/>
      <c r="G140" s="555"/>
      <c r="H140" s="149" t="s">
        <v>12</v>
      </c>
      <c r="I140" s="162"/>
      <c r="J140" s="162"/>
      <c r="K140" s="163"/>
      <c r="L140" s="152">
        <f t="shared" ref="L140:N140" ca="1" si="64">L141+L142</f>
        <v>69000</v>
      </c>
      <c r="M140" s="152">
        <f t="shared" ca="1" si="64"/>
        <v>55625</v>
      </c>
      <c r="N140" s="152">
        <f t="shared" ca="1" si="64"/>
        <v>45141.5</v>
      </c>
      <c r="O140" s="151">
        <f t="shared" ref="O140:O142" ca="1" si="65">IF(L140&gt;0,N140*100/L140,0)</f>
        <v>65.422463768115946</v>
      </c>
      <c r="P140" s="151">
        <f t="shared" ref="P140:P142" ca="1" si="66">IF(M140&gt;0,N140*100/M140,0)</f>
        <v>81.153258426966289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69000</v>
      </c>
      <c r="M142" s="157">
        <f t="shared" ca="1" si="68"/>
        <v>55625</v>
      </c>
      <c r="N142" s="157">
        <f t="shared" ca="1" si="68"/>
        <v>45141.5</v>
      </c>
      <c r="O142" s="156">
        <f t="shared" ca="1" si="65"/>
        <v>65.422463768115946</v>
      </c>
      <c r="P142" s="156">
        <f t="shared" ca="1" si="66"/>
        <v>81.153258426966289</v>
      </c>
    </row>
    <row r="143" spans="1:16" ht="21.75" customHeight="1" x14ac:dyDescent="0.45">
      <c r="A143" s="158"/>
      <c r="B143" s="159"/>
      <c r="C143" s="159" t="s">
        <v>16</v>
      </c>
      <c r="D143" s="552" t="s">
        <v>20</v>
      </c>
      <c r="E143" s="553"/>
      <c r="F143" s="55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69000</v>
      </c>
      <c r="M144" s="168">
        <f ca="1">IFERROR(__xludf.DUMMYFUNCTION("IMPORTRANGE(""https://docs.google.com/spreadsheets/d/1Yj_ptqi66GCucihVvJfMjLAmec39IyEx_6qawtMGysU/edit?usp=sharing"",""สบก!BJ39"")"),55625)</f>
        <v>55625</v>
      </c>
      <c r="N144" s="169">
        <f ca="1">IFERROR(__xludf.DUMMYFUNCTION("IMPORTRANGE(""https://docs.google.com/spreadsheets/d/1Yj_ptqi66GCucihVvJfMjLAmec39IyEx_6qawtMGysU/edit?usp=sharing"",""สบก!BK39"")"),45141.5)</f>
        <v>45141.5</v>
      </c>
      <c r="O144" s="169">
        <f ca="1">IF(L144&gt;0,N144*100/L144,0)</f>
        <v>65.422463768115946</v>
      </c>
      <c r="P144" s="169">
        <f ca="1">IF(M144&gt;0,N144*100/M144,0)</f>
        <v>81.153258426966289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IFERROR(__xludf.DUMMYFUNCTION("IMPORTRANGE(""https://docs.google.com/spreadsheets/d/1Yj_ptqi66GCucihVvJfMjLAmec39IyEx_6qawtMGysU/edit?usp=sharing"",""สบก!BF39"")"),0)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IFERROR(__xludf.DUMMYFUNCTION("IMPORTRANGE(""https://docs.google.com/spreadsheets/d/1Yj_ptqi66GCucihVvJfMjLAmec39IyEx_6qawtMGysU/edit?usp=sharing"",""สบก!BG39"")"),69000)</f>
        <v>69000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52" t="s">
        <v>23</v>
      </c>
      <c r="E147" s="55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IFERROR(__xludf.DUMMYFUNCTION("IMPORTRANGE(""https://docs.google.com/spreadsheets/d/1Yj_ptqi66GCucihVvJfMjLAmec39IyEx_6qawtMGysU/edit?usp=sharing"",""สบก!BH39"")"),0)</f>
        <v>0</v>
      </c>
      <c r="M148" s="49"/>
      <c r="N148" s="49">
        <f ca="1">IFERROR(__xludf.DUMMYFUNCTION("IMPORTRANGE(""https://docs.google.com/spreadsheets/d/1Yj_ptqi66GCucihVvJfMjLAmec39IyEx_6qawtMGysU/edit?usp=sharing"",""สบก!BL39"")"),0)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IFERROR(__xludf.DUMMYFUNCTION("IMPORTRANGE(""https://docs.google.com/spreadsheets/d/1XL5vhW3sbDhbH9Cz0tuDiY8C3ctxq1tqvaCgkFb8cCA/edit?usp=sharing"",""ขอนแก่น!I74"")"),4)</f>
        <v>4</v>
      </c>
      <c r="J149" s="275">
        <f ca="1">IFERROR(__xludf.DUMMYFUNCTION("IMPORTRANGE(""https://docs.google.com/spreadsheets/d/1XL5vhW3sbDhbH9Cz0tuDiY8C3ctxq1tqvaCgkFb8cCA/edit?usp=sharing"",""ขอนแก่น!J74"")"),1)</f>
        <v>1</v>
      </c>
      <c r="K149" s="276">
        <f ca="1">IF(I149&gt;0,J149*100/I149,0)</f>
        <v>25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IFERROR(__xludf.DUMMYFUNCTION("IMPORTRANGE(""https://docs.google.com/spreadsheets/d/1XL5vhW3sbDhbH9Cz0tuDiY8C3ctxq1tqvaCgkFb8cCA/edit?usp=sharing"",""ขอนแก่น!J79"")"),0)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IFERROR(__xludf.DUMMYFUNCTION("IMPORTRANGE(""https://docs.google.com/spreadsheets/d/1XL5vhW3sbDhbH9Cz0tuDiY8C3ctxq1tqvaCgkFb8cCA/edit?usp=sharing"",""ขอนแก่น!J80"")"),1)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IFERROR(__xludf.DUMMYFUNCTION("IMPORTRANGE(""https://docs.google.com/spreadsheets/d/1XL5vhW3sbDhbH9Cz0tuDiY8C3ctxq1tqvaCgkFb8cCA/edit?usp=sharing"",""ขอนแก่น!J81"")"),0)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IFERROR(__xludf.DUMMYFUNCTION("IMPORTRANGE(""https://docs.google.com/spreadsheets/d/1XL5vhW3sbDhbH9Cz0tuDiY8C3ctxq1tqvaCgkFb8cCA/edit?usp=sharing"",""ขอนแก่น!J82"")"),0)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IFERROR(__xludf.DUMMYFUNCTION("IMPORTRANGE(""https://docs.google.com/spreadsheets/d/1XL5vhW3sbDhbH9Cz0tuDiY8C3ctxq1tqvaCgkFb8cCA/edit?usp=sharing"",""ขอนแก่น!I83"")"),4)</f>
        <v>4</v>
      </c>
      <c r="J158" s="189">
        <f ca="1">IFERROR(__xludf.DUMMYFUNCTION("IMPORTRANGE(""https://docs.google.com/spreadsheets/d/1XL5vhW3sbDhbH9Cz0tuDiY8C3ctxq1tqvaCgkFb8cCA/edit?usp=sharing"",""ขอนแก่น!J83"")"),1)</f>
        <v>1</v>
      </c>
      <c r="K158" s="163">
        <f ca="1">IF(I158&gt;0,J158*100/I158,0)</f>
        <v>25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IFERROR(__xludf.DUMMYFUNCTION("IMPORTRANGE(""https://docs.google.com/spreadsheets/d/1XL5vhW3sbDhbH9Cz0tuDiY8C3ctxq1tqvaCgkFb8cCA/edit?usp=sharing"",""ขอนแก่น!J84"")"),0)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IFERROR(__xludf.DUMMYFUNCTION("IMPORTRANGE(""https://docs.google.com/spreadsheets/d/1XL5vhW3sbDhbH9Cz0tuDiY8C3ctxq1tqvaCgkFb8cCA/edit?usp=sharing"",""ขอนแก่น!J85"")"),0)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IFERROR(__xludf.DUMMYFUNCTION("IMPORTRANGE(""https://docs.google.com/spreadsheets/d/1XL5vhW3sbDhbH9Cz0tuDiY8C3ctxq1tqvaCgkFb8cCA/edit?usp=sharing"",""ขอนแก่น!J86"")"),0)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IFERROR(__xludf.DUMMYFUNCTION("IMPORTRANGE(""https://docs.google.com/spreadsheets/d/1XL5vhW3sbDhbH9Cz0tuDiY8C3ctxq1tqvaCgkFb8cCA/edit?usp=sharing"",""ขอนแก่น!J87"")"),0)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IFERROR(__xludf.DUMMYFUNCTION("IMPORTRANGE(""https://docs.google.com/spreadsheets/d/1XL5vhW3sbDhbH9Cz0tuDiY8C3ctxq1tqvaCgkFb8cCA/edit?usp=sharing"",""ขอนแก่น!J88"")"),0)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IFERROR(__xludf.DUMMYFUNCTION("IMPORTRANGE(""https://docs.google.com/spreadsheets/d/1XL5vhW3sbDhbH9Cz0tuDiY8C3ctxq1tqvaCgkFb8cCA/edit?usp=sharing"",""ขอนแก่น!I89"")"),3)</f>
        <v>3</v>
      </c>
      <c r="J164" s="284">
        <f ca="1">IFERROR(__xludf.DUMMYFUNCTION("IMPORTRANGE(""https://docs.google.com/spreadsheets/d/1XL5vhW3sbDhbH9Cz0tuDiY8C3ctxq1tqvaCgkFb8cCA/edit?usp=sharing"",""ขอนแก่น!J89"")"),3)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IFERROR(__xludf.DUMMYFUNCTION("IMPORTRANGE(""https://docs.google.com/spreadsheets/d/1XL5vhW3sbDhbH9Cz0tuDiY8C3ctxq1tqvaCgkFb8cCA/edit?usp=sharing"",""ขอนแก่น!J94"")"),0)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IFERROR(__xludf.DUMMYFUNCTION("IMPORTRANGE(""https://docs.google.com/spreadsheets/d/1XL5vhW3sbDhbH9Cz0tuDiY8C3ctxq1tqvaCgkFb8cCA/edit?usp=sharing"",""ขอนแก่น!J95"")"),1)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IFERROR(__xludf.DUMMYFUNCTION("IMPORTRANGE(""https://docs.google.com/spreadsheets/d/1XL5vhW3sbDhbH9Cz0tuDiY8C3ctxq1tqvaCgkFb8cCA/edit?usp=sharing"",""ขอนแก่น!J96"")"),1)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IFERROR(__xludf.DUMMYFUNCTION("IMPORTRANGE(""https://docs.google.com/spreadsheets/d/1XL5vhW3sbDhbH9Cz0tuDiY8C3ctxq1tqvaCgkFb8cCA/edit?usp=sharing"",""ขอนแก่น!J97"")"),0)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IFERROR(__xludf.DUMMYFUNCTION("IMPORTRANGE(""https://docs.google.com/spreadsheets/d/1XL5vhW3sbDhbH9Cz0tuDiY8C3ctxq1tqvaCgkFb8cCA/edit?usp=sharing"",""ขอนแก่น!I98"")"),3)</f>
        <v>3</v>
      </c>
      <c r="J173" s="189">
        <f ca="1">IFERROR(__xludf.DUMMYFUNCTION("IMPORTRANGE(""https://docs.google.com/spreadsheets/d/1XL5vhW3sbDhbH9Cz0tuDiY8C3ctxq1tqvaCgkFb8cCA/edit?usp=sharing"",""ขอนแก่น!J98"")"),3)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IFERROR(__xludf.DUMMYFUNCTION("IMPORTRANGE(""https://docs.google.com/spreadsheets/d/1XL5vhW3sbDhbH9Cz0tuDiY8C3ctxq1tqvaCgkFb8cCA/edit?usp=sharing"",""ขอนแก่น!J99"")"),0)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IFERROR(__xludf.DUMMYFUNCTION("IMPORTRANGE(""https://docs.google.com/spreadsheets/d/1XL5vhW3sbDhbH9Cz0tuDiY8C3ctxq1tqvaCgkFb8cCA/edit?usp=sharing"",""ขอนแก่น!J100"")"),0)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IFERROR(__xludf.DUMMYFUNCTION("IMPORTRANGE(""https://docs.google.com/spreadsheets/d/1XL5vhW3sbDhbH9Cz0tuDiY8C3ctxq1tqvaCgkFb8cCA/edit?usp=sharing"",""ขอนแก่น!I101"")"),0)</f>
        <v>0</v>
      </c>
      <c r="J176" s="284">
        <f ca="1">IFERROR(__xludf.DUMMYFUNCTION("IMPORTRANGE(""https://docs.google.com/spreadsheets/d/1XL5vhW3sbDhbH9Cz0tuDiY8C3ctxq1tqvaCgkFb8cCA/edit?usp=sharing"",""ขอนแก่น!J101"")"),0)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IFERROR(__xludf.DUMMYFUNCTION("IMPORTRANGE(""https://docs.google.com/spreadsheets/d/1XL5vhW3sbDhbH9Cz0tuDiY8C3ctxq1tqvaCgkFb8cCA/edit?usp=sharing"",""ขอนแก่น!J106"")"),0)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IFERROR(__xludf.DUMMYFUNCTION("IMPORTRANGE(""https://docs.google.com/spreadsheets/d/1XL5vhW3sbDhbH9Cz0tuDiY8C3ctxq1tqvaCgkFb8cCA/edit?usp=sharing"",""ขอนแก่น!J107"")"),0)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IFERROR(__xludf.DUMMYFUNCTION("IMPORTRANGE(""https://docs.google.com/spreadsheets/d/1XL5vhW3sbDhbH9Cz0tuDiY8C3ctxq1tqvaCgkFb8cCA/edit?usp=sharing"",""ขอนแก่น!J108"")"),0)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IFERROR(__xludf.DUMMYFUNCTION("IMPORTRANGE(""https://docs.google.com/spreadsheets/d/1XL5vhW3sbDhbH9Cz0tuDiY8C3ctxq1tqvaCgkFb8cCA/edit?usp=sharing"",""ขอนแก่น!J109"")"),0)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IFERROR(__xludf.DUMMYFUNCTION("IMPORTRANGE(""https://docs.google.com/spreadsheets/d/1XL5vhW3sbDhbH9Cz0tuDiY8C3ctxq1tqvaCgkFb8cCA/edit?usp=sharing"",""ขอนแก่น!I110"")"),0)</f>
        <v>0</v>
      </c>
      <c r="J185" s="204">
        <f ca="1">IFERROR(__xludf.DUMMYFUNCTION("IMPORTRANGE(""https://docs.google.com/spreadsheets/d/1XL5vhW3sbDhbH9Cz0tuDiY8C3ctxq1tqvaCgkFb8cCA/edit?usp=sharing"",""ขอนแก่น!J110"")"),0)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IFERROR(__xludf.DUMMYFUNCTION("IMPORTRANGE(""https://docs.google.com/spreadsheets/d/1XL5vhW3sbDhbH9Cz0tuDiY8C3ctxq1tqvaCgkFb8cCA/edit?usp=sharing"",""ขอนแก่น!I111"")"),0)</f>
        <v>0</v>
      </c>
      <c r="J186" s="204">
        <f ca="1">IFERROR(__xludf.DUMMYFUNCTION("IMPORTRANGE(""https://docs.google.com/spreadsheets/d/1XL5vhW3sbDhbH9Cz0tuDiY8C3ctxq1tqvaCgkFb8cCA/edit?usp=sharing"",""ขอนแก่น!J111"")"),0)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IFERROR(__xludf.DUMMYFUNCTION("IMPORTRANGE(""https://docs.google.com/spreadsheets/d/1XL5vhW3sbDhbH9Cz0tuDiY8C3ctxq1tqvaCgkFb8cCA/edit?usp=sharing"",""ขอนแก่น!J112"")"),0)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IFERROR(__xludf.DUMMYFUNCTION("IMPORTRANGE(""https://docs.google.com/spreadsheets/d/1XL5vhW3sbDhbH9Cz0tuDiY8C3ctxq1tqvaCgkFb8cCA/edit?usp=sharing"",""ขอนแก่น!J113"")"),0)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IFERROR(__xludf.DUMMYFUNCTION("IMPORTRANGE(""https://docs.google.com/spreadsheets/d/1XL5vhW3sbDhbH9Cz0tuDiY8C3ctxq1tqvaCgkFb8cCA/edit?usp=sharing"",""ขอนแก่น!I114"")"),50000)</f>
        <v>50000</v>
      </c>
      <c r="J189" s="284">
        <f ca="1">IFERROR(__xludf.DUMMYFUNCTION("IMPORTRANGE(""https://docs.google.com/spreadsheets/d/1XL5vhW3sbDhbH9Cz0tuDiY8C3ctxq1tqvaCgkFb8cCA/edit?usp=sharing"",""ขอนแก่น!J114"")"),0)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IFERROR(__xludf.DUMMYFUNCTION("IMPORTRANGE(""https://docs.google.com/spreadsheets/d/1XL5vhW3sbDhbH9Cz0tuDiY8C3ctxq1tqvaCgkFb8cCA/edit?usp=sharing"",""ขอนแก่น!J119"")"),0)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IFERROR(__xludf.DUMMYFUNCTION("IMPORTRANGE(""https://docs.google.com/spreadsheets/d/1XL5vhW3sbDhbH9Cz0tuDiY8C3ctxq1tqvaCgkFb8cCA/edit?usp=sharing"",""ขอนแก่น!J120"")"),1)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IFERROR(__xludf.DUMMYFUNCTION("IMPORTRANGE(""https://docs.google.com/spreadsheets/d/1XL5vhW3sbDhbH9Cz0tuDiY8C3ctxq1tqvaCgkFb8cCA/edit?usp=sharing"",""ขอนแก่น!J121"")"),0)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IFERROR(__xludf.DUMMYFUNCTION("IMPORTRANGE(""https://docs.google.com/spreadsheets/d/1XL5vhW3sbDhbH9Cz0tuDiY8C3ctxq1tqvaCgkFb8cCA/edit?usp=sharing"",""ขอนแก่น!J122"")"),0)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IFERROR(__xludf.DUMMYFUNCTION("IMPORTRANGE(""https://docs.google.com/spreadsheets/d/1XL5vhW3sbDhbH9Cz0tuDiY8C3ctxq1tqvaCgkFb8cCA/edit?usp=sharing"",""ขอนแก่น!I124"")"),50000)</f>
        <v>50000</v>
      </c>
      <c r="J199" s="189">
        <f ca="1">IFERROR(__xludf.DUMMYFUNCTION("IMPORTRANGE(""https://docs.google.com/spreadsheets/d/1XL5vhW3sbDhbH9Cz0tuDiY8C3ctxq1tqvaCgkFb8cCA/edit?usp=sharing"",""ขอนแก่น!J124"")"),0)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IFERROR(__xludf.DUMMYFUNCTION("IMPORTRANGE(""https://docs.google.com/spreadsheets/d/1XL5vhW3sbDhbH9Cz0tuDiY8C3ctxq1tqvaCgkFb8cCA/edit?usp=sharing"",""ขอนแก่น!I125"")"),50000)</f>
        <v>50000</v>
      </c>
      <c r="J200" s="189">
        <f ca="1">IFERROR(__xludf.DUMMYFUNCTION("IMPORTRANGE(""https://docs.google.com/spreadsheets/d/1XL5vhW3sbDhbH9Cz0tuDiY8C3ctxq1tqvaCgkFb8cCA/edit?usp=sharing"",""ขอนแก่น!J125"")"),0)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IFERROR(__xludf.DUMMYFUNCTION("IMPORTRANGE(""https://docs.google.com/spreadsheets/d/1XL5vhW3sbDhbH9Cz0tuDiY8C3ctxq1tqvaCgkFb8cCA/edit?usp=sharing"",""ขอนแก่น!I126"")"),0)</f>
        <v>0</v>
      </c>
      <c r="J201" s="189">
        <f ca="1">IFERROR(__xludf.DUMMYFUNCTION("IMPORTRANGE(""https://docs.google.com/spreadsheets/d/1XL5vhW3sbDhbH9Cz0tuDiY8C3ctxq1tqvaCgkFb8cCA/edit?usp=sharing"",""ขอนแก่น!J126"")"),0)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IFERROR(__xludf.DUMMYFUNCTION("IMPORTRANGE(""https://docs.google.com/spreadsheets/d/1XL5vhW3sbDhbH9Cz0tuDiY8C3ctxq1tqvaCgkFb8cCA/edit?usp=sharing"",""ขอนแก่น!J127"")"),0)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IFERROR(__xludf.DUMMYFUNCTION("IMPORTRANGE(""https://docs.google.com/spreadsheets/d/1XL5vhW3sbDhbH9Cz0tuDiY8C3ctxq1tqvaCgkFb8cCA/edit?usp=sharing"",""ขอนแก่น!J128"")"),0)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IFERROR(__xludf.DUMMYFUNCTION("IMPORTRANGE(""https://docs.google.com/spreadsheets/d/1XL5vhW3sbDhbH9Cz0tuDiY8C3ctxq1tqvaCgkFb8cCA/edit?usp=sharing"",""ขอนแก่น!I129"")"),0)</f>
        <v>0</v>
      </c>
      <c r="J204" s="284">
        <f ca="1">IFERROR(__xludf.DUMMYFUNCTION("IMPORTRANGE(""https://docs.google.com/spreadsheets/d/1XL5vhW3sbDhbH9Cz0tuDiY8C3ctxq1tqvaCgkFb8cCA/edit?usp=sharing"",""ขอนแก่น!J129"")"),0)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IFERROR(__xludf.DUMMYFUNCTION("IMPORTRANGE(""https://docs.google.com/spreadsheets/d/1XL5vhW3sbDhbH9Cz0tuDiY8C3ctxq1tqvaCgkFb8cCA/edit?usp=sharing"",""ขอนแก่น!J134"")"),0)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IFERROR(__xludf.DUMMYFUNCTION("IMPORTRANGE(""https://docs.google.com/spreadsheets/d/1XL5vhW3sbDhbH9Cz0tuDiY8C3ctxq1tqvaCgkFb8cCA/edit?usp=sharing"",""ขอนแก่น!J135"")"),0)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IFERROR(__xludf.DUMMYFUNCTION("IMPORTRANGE(""https://docs.google.com/spreadsheets/d/1XL5vhW3sbDhbH9Cz0tuDiY8C3ctxq1tqvaCgkFb8cCA/edit?usp=sharing"",""ขอนแก่น!J136"")"),0)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IFERROR(__xludf.DUMMYFUNCTION("IMPORTRANGE(""https://docs.google.com/spreadsheets/d/1XL5vhW3sbDhbH9Cz0tuDiY8C3ctxq1tqvaCgkFb8cCA/edit?usp=sharing"",""ขอนแก่น!J137"")"),0)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IFERROR(__xludf.DUMMYFUNCTION("IMPORTRANGE(""https://docs.google.com/spreadsheets/d/1XL5vhW3sbDhbH9Cz0tuDiY8C3ctxq1tqvaCgkFb8cCA/edit?usp=sharing"",""ขอนแก่น!I138"")"),0)</f>
        <v>0</v>
      </c>
      <c r="J213" s="204">
        <f ca="1">IFERROR(__xludf.DUMMYFUNCTION("IMPORTRANGE(""https://docs.google.com/spreadsheets/d/1XL5vhW3sbDhbH9Cz0tuDiY8C3ctxq1tqvaCgkFb8cCA/edit?usp=sharing"",""ขอนแก่น!J138"")"),0)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IFERROR(__xludf.DUMMYFUNCTION("IMPORTRANGE(""https://docs.google.com/spreadsheets/d/1XL5vhW3sbDhbH9Cz0tuDiY8C3ctxq1tqvaCgkFb8cCA/edit?usp=sharing"",""ขอนแก่น!I140"")"),0)</f>
        <v>0</v>
      </c>
      <c r="J215" s="204">
        <f ca="1">IFERROR(__xludf.DUMMYFUNCTION("IMPORTRANGE(""https://docs.google.com/spreadsheets/d/1XL5vhW3sbDhbH9Cz0tuDiY8C3ctxq1tqvaCgkFb8cCA/edit?usp=sharing"",""ขอนแก่น!J140"")"),0)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IFERROR(__xludf.DUMMYFUNCTION("IMPORTRANGE(""https://docs.google.com/spreadsheets/d/1XL5vhW3sbDhbH9Cz0tuDiY8C3ctxq1tqvaCgkFb8cCA/edit?usp=sharing"",""ขอนแก่น!I141"")"),0)</f>
        <v>0</v>
      </c>
      <c r="J216" s="204">
        <f ca="1">IFERROR(__xludf.DUMMYFUNCTION("IMPORTRANGE(""https://docs.google.com/spreadsheets/d/1XL5vhW3sbDhbH9Cz0tuDiY8C3ctxq1tqvaCgkFb8cCA/edit?usp=sharing"",""ขอนแก่น!J141"")"),0)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IFERROR(__xludf.DUMMYFUNCTION("IMPORTRANGE(""https://docs.google.com/spreadsheets/d/1XL5vhW3sbDhbH9Cz0tuDiY8C3ctxq1tqvaCgkFb8cCA/edit?usp=sharing"",""ขอนแก่น!J142"")"),0)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IFERROR(__xludf.DUMMYFUNCTION("IMPORTRANGE(""https://docs.google.com/spreadsheets/d/1XL5vhW3sbDhbH9Cz0tuDiY8C3ctxq1tqvaCgkFb8cCA/edit?usp=sharing"",""ขอนแก่น!J143"")"),0)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IFERROR(__xludf.DUMMYFUNCTION("IMPORTRANGE(""https://docs.google.com/spreadsheets/d/1XL5vhW3sbDhbH9Cz0tuDiY8C3ctxq1tqvaCgkFb8cCA/edit?usp=sharing"",""ขอนแก่น!I144"")"),10)</f>
        <v>10</v>
      </c>
      <c r="J219" s="267">
        <f ca="1">IFERROR(__xludf.DUMMYFUNCTION("IMPORTRANGE(""https://docs.google.com/spreadsheets/d/1XL5vhW3sbDhbH9Cz0tuDiY8C3ctxq1tqvaCgkFb8cCA/edit?usp=sharing"",""ขอนแก่น!J144"")"),10)</f>
        <v>10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54" t="s">
        <v>17</v>
      </c>
      <c r="E220" s="555"/>
      <c r="F220" s="555"/>
      <c r="G220" s="555"/>
      <c r="H220" s="149" t="s">
        <v>12</v>
      </c>
      <c r="I220" s="162"/>
      <c r="J220" s="162"/>
      <c r="K220" s="163"/>
      <c r="L220" s="152">
        <f t="shared" ref="L220:N220" ca="1" si="72">L221+L222</f>
        <v>16550</v>
      </c>
      <c r="M220" s="152">
        <f t="shared" ca="1" si="72"/>
        <v>16550</v>
      </c>
      <c r="N220" s="152">
        <f t="shared" ca="1" si="72"/>
        <v>16550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16550</v>
      </c>
      <c r="M222" s="157">
        <f t="shared" ca="1" si="76"/>
        <v>16550</v>
      </c>
      <c r="N222" s="157">
        <f t="shared" ca="1" si="76"/>
        <v>16550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52" t="s">
        <v>20</v>
      </c>
      <c r="E223" s="553"/>
      <c r="F223" s="55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16550</v>
      </c>
      <c r="M224" s="168">
        <f ca="1">IFERROR(__xludf.DUMMYFUNCTION("IMPORTRANGE(""https://docs.google.com/spreadsheets/d/1Yj_ptqi66GCucihVvJfMjLAmec39IyEx_6qawtMGysU/edit?usp=sharing"",""สบก!BS39"")"),16550)</f>
        <v>16550</v>
      </c>
      <c r="N224" s="169">
        <f ca="1">IFERROR(__xludf.DUMMYFUNCTION("IMPORTRANGE(""https://docs.google.com/spreadsheets/d/1Yj_ptqi66GCucihVvJfMjLAmec39IyEx_6qawtMGysU/edit?usp=sharing"",""สบก!BT39"")"),16550)</f>
        <v>16550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IFERROR(__xludf.DUMMYFUNCTION("IMPORTRANGE(""https://docs.google.com/spreadsheets/d/1Yj_ptqi66GCucihVvJfMjLAmec39IyEx_6qawtMGysU/edit?usp=sharing"",""สบก!BO39"")"),0)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IFERROR(__xludf.DUMMYFUNCTION("IMPORTRANGE(""https://docs.google.com/spreadsheets/d/1Yj_ptqi66GCucihVvJfMjLAmec39IyEx_6qawtMGysU/edit?usp=sharing"",""สบก!BP39"")"),16550)</f>
        <v>16550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52" t="s">
        <v>23</v>
      </c>
      <c r="E227" s="55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IFERROR(__xludf.DUMMYFUNCTION("IMPORTRANGE(""https://docs.google.com/spreadsheets/d/1Yj_ptqi66GCucihVvJfMjLAmec39IyEx_6qawtMGysU/edit?usp=sharing"",""สบก!BQ39"")"),0)</f>
        <v>0</v>
      </c>
      <c r="M228" s="49"/>
      <c r="N228" s="49">
        <f ca="1">IFERROR(__xludf.DUMMYFUNCTION("IMPORTRANGE(""https://docs.google.com/spreadsheets/d/1Yj_ptqi66GCucihVvJfMjLAmec39IyEx_6qawtMGysU/edit?usp=sharing"",""สบก!BU39"")"),0)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IFERROR(__xludf.DUMMYFUNCTION("IMPORTRANGE(""https://docs.google.com/spreadsheets/d/1XL5vhW3sbDhbH9Cz0tuDiY8C3ctxq1tqvaCgkFb8cCA/edit?usp=sharing"",""ขอนแก่น!I149"")"),10)</f>
        <v>10</v>
      </c>
      <c r="J229" s="267">
        <f ca="1">IFERROR(__xludf.DUMMYFUNCTION("IMPORTRANGE(""https://docs.google.com/spreadsheets/d/1XL5vhW3sbDhbH9Cz0tuDiY8C3ctxq1tqvaCgkFb8cCA/edit?usp=sharing"",""ขอนแก่น!J149"")"),10)</f>
        <v>10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IFERROR(__xludf.DUMMYFUNCTION("IMPORTRANGE(""https://docs.google.com/spreadsheets/d/1XL5vhW3sbDhbH9Cz0tuDiY8C3ctxq1tqvaCgkFb8cCA/edit?usp=sharing"",""ขอนแก่น!J151"")"),0)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IFERROR(__xludf.DUMMYFUNCTION("IMPORTRANGE(""https://docs.google.com/spreadsheets/d/1XL5vhW3sbDhbH9Cz0tuDiY8C3ctxq1tqvaCgkFb8cCA/edit?usp=sharing"",""ขอนแก่น!J152"")"),1)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IFERROR(__xludf.DUMMYFUNCTION("IMPORTRANGE(""https://docs.google.com/spreadsheets/d/1XL5vhW3sbDhbH9Cz0tuDiY8C3ctxq1tqvaCgkFb8cCA/edit?usp=sharing"",""ขอนแก่น!J153"")"),1)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IFERROR(__xludf.DUMMYFUNCTION("IMPORTRANGE(""https://docs.google.com/spreadsheets/d/1XL5vhW3sbDhbH9Cz0tuDiY8C3ctxq1tqvaCgkFb8cCA/edit?usp=sharing"",""ขอนแก่น!J154"")"),1)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IFERROR(__xludf.DUMMYFUNCTION("IMPORTRANGE(""https://docs.google.com/spreadsheets/d/1XL5vhW3sbDhbH9Cz0tuDiY8C3ctxq1tqvaCgkFb8cCA/edit?usp=sharing"",""ขอนแก่น!I155"")"),10)</f>
        <v>10</v>
      </c>
      <c r="J235" s="189">
        <f ca="1">IFERROR(__xludf.DUMMYFUNCTION("IMPORTRANGE(""https://docs.google.com/spreadsheets/d/1XL5vhW3sbDhbH9Cz0tuDiY8C3ctxq1tqvaCgkFb8cCA/edit?usp=sharing"",""ขอนแก่น!J155"")"),10)</f>
        <v>10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IFERROR(__xludf.DUMMYFUNCTION("IMPORTRANGE(""https://docs.google.com/spreadsheets/d/1XL5vhW3sbDhbH9Cz0tuDiY8C3ctxq1tqvaCgkFb8cCA/edit?usp=sharing"",""ขอนแก่น!J156"")"),0)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IFERROR(__xludf.DUMMYFUNCTION("IMPORTRANGE(""https://docs.google.com/spreadsheets/d/1XL5vhW3sbDhbH9Cz0tuDiY8C3ctxq1tqvaCgkFb8cCA/edit?usp=sharing"",""ขอนแก่น!J157"")"),0)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IFERROR(__xludf.DUMMYFUNCTION("IMPORTRANGE(""https://docs.google.com/spreadsheets/d/1XL5vhW3sbDhbH9Cz0tuDiY8C3ctxq1tqvaCgkFb8cCA/edit?usp=sharing"",""ขอนแก่น!I158"")"),0)</f>
        <v>0</v>
      </c>
      <c r="J238" s="267">
        <f ca="1">IFERROR(__xludf.DUMMYFUNCTION("IMPORTRANGE(""https://docs.google.com/spreadsheets/d/1XL5vhW3sbDhbH9Cz0tuDiY8C3ctxq1tqvaCgkFb8cCA/edit?usp=sharing"",""ขอนแก่น!J158"")"),0)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IFERROR(__xludf.DUMMYFUNCTION("IMPORTRANGE(""https://docs.google.com/spreadsheets/d/1XL5vhW3sbDhbH9Cz0tuDiY8C3ctxq1tqvaCgkFb8cCA/edit?usp=sharing"",""ขอนแก่น!J159"")"),"")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IFERROR(__xludf.DUMMYFUNCTION("IMPORTRANGE(""https://docs.google.com/spreadsheets/d/1XL5vhW3sbDhbH9Cz0tuDiY8C3ctxq1tqvaCgkFb8cCA/edit?usp=sharing"",""ขอนแก่น!J161"")"),0)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IFERROR(__xludf.DUMMYFUNCTION("IMPORTRANGE(""https://docs.google.com/spreadsheets/d/1XL5vhW3sbDhbH9Cz0tuDiY8C3ctxq1tqvaCgkFb8cCA/edit?usp=sharing"",""ขอนแก่น!J162"")"),0)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IFERROR(__xludf.DUMMYFUNCTION("IMPORTRANGE(""https://docs.google.com/spreadsheets/d/1XL5vhW3sbDhbH9Cz0tuDiY8C3ctxq1tqvaCgkFb8cCA/edit?usp=sharing"",""ขอนแก่น!J163"")"),0)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IFERROR(__xludf.DUMMYFUNCTION("IMPORTRANGE(""https://docs.google.com/spreadsheets/d/1XL5vhW3sbDhbH9Cz0tuDiY8C3ctxq1tqvaCgkFb8cCA/edit?usp=sharing"",""ขอนแก่น!I164"")"),0)</f>
        <v>0</v>
      </c>
      <c r="J244" s="188">
        <f ca="1">IFERROR(__xludf.DUMMYFUNCTION("IMPORTRANGE(""https://docs.google.com/spreadsheets/d/1XL5vhW3sbDhbH9Cz0tuDiY8C3ctxq1tqvaCgkFb8cCA/edit?usp=sharing"",""ขอนแก่น!J164"")"),0)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IFERROR(__xludf.DUMMYFUNCTION("IMPORTRANGE(""https://docs.google.com/spreadsheets/d/1XL5vhW3sbDhbH9Cz0tuDiY8C3ctxq1tqvaCgkFb8cCA/edit?usp=sharing"",""ขอนแก่น!J165"")"),0)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IFERROR(__xludf.DUMMYFUNCTION("IMPORTRANGE(""https://docs.google.com/spreadsheets/d/1XL5vhW3sbDhbH9Cz0tuDiY8C3ctxq1tqvaCgkFb8cCA/edit?usp=sharing"",""ขอนแก่น!J166"")"),0)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IFERROR(__xludf.DUMMYFUNCTION("IMPORTRANGE(""https://docs.google.com/spreadsheets/d/1XL5vhW3sbDhbH9Cz0tuDiY8C3ctxq1tqvaCgkFb8cCA/edit?usp=sharing"",""ขอนแก่น!I169"")"),0)</f>
        <v>0</v>
      </c>
      <c r="J249" s="316">
        <f ca="1">IFERROR(__xludf.DUMMYFUNCTION("IMPORTRANGE(""https://docs.google.com/spreadsheets/d/1XL5vhW3sbDhbH9Cz0tuDiY8C3ctxq1tqvaCgkFb8cCA/edit?usp=sharing"",""ขอนแก่น!J169"")"),0)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54" t="s">
        <v>17</v>
      </c>
      <c r="E250" s="555"/>
      <c r="F250" s="555"/>
      <c r="G250" s="55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52" t="s">
        <v>20</v>
      </c>
      <c r="E253" s="553"/>
      <c r="F253" s="55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IFERROR(__xludf.DUMMYFUNCTION("IMPORTRANGE(""https://docs.google.com/spreadsheets/d/1Yj_ptqi66GCucihVvJfMjLAmec39IyEx_6qawtMGysU/edit?usp=sharing"",""สบก!CB39"")"),0)</f>
        <v>0</v>
      </c>
      <c r="N254" s="169">
        <f ca="1">IFERROR(__xludf.DUMMYFUNCTION("IMPORTRANGE(""https://docs.google.com/spreadsheets/d/1Yj_ptqi66GCucihVvJfMjLAmec39IyEx_6qawtMGysU/edit?usp=sharing"",""สบก!CC39"")"),0)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IFERROR(__xludf.DUMMYFUNCTION("IMPORTRANGE(""https://docs.google.com/spreadsheets/d/1Yj_ptqi66GCucihVvJfMjLAmec39IyEx_6qawtMGysU/edit?usp=sharing"",""สบก!BX39"")"),0)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IFERROR(__xludf.DUMMYFUNCTION("IMPORTRANGE(""https://docs.google.com/spreadsheets/d/1Yj_ptqi66GCucihVvJfMjLAmec39IyEx_6qawtMGysU/edit?usp=sharing"",""สบก!BY39"")"),0)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52" t="s">
        <v>23</v>
      </c>
      <c r="E257" s="55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IFERROR(__xludf.DUMMYFUNCTION("IMPORTRANGE(""https://docs.google.com/spreadsheets/d/1Yj_ptqi66GCucihVvJfMjLAmec39IyEx_6qawtMGysU/edit?usp=sharing"",""สบก!BZ39"")"),0)</f>
        <v>0</v>
      </c>
      <c r="M258" s="49"/>
      <c r="N258" s="49">
        <f ca="1">IFERROR(__xludf.DUMMYFUNCTION("IMPORTRANGE(""https://docs.google.com/spreadsheets/d/1Yj_ptqi66GCucihVvJfMjLAmec39IyEx_6qawtMGysU/edit?usp=sharing"",""สบก!CD39"")"),0)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IFERROR(__xludf.DUMMYFUNCTION("IMPORTRANGE(""https://docs.google.com/spreadsheets/d/1XL5vhW3sbDhbH9Cz0tuDiY8C3ctxq1tqvaCgkFb8cCA/edit?usp=sharing"",""ขอนแก่น!J175"")"),0)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IFERROR(__xludf.DUMMYFUNCTION("IMPORTRANGE(""https://docs.google.com/spreadsheets/d/1XL5vhW3sbDhbH9Cz0tuDiY8C3ctxq1tqvaCgkFb8cCA/edit?usp=sharing"",""ขอนแก่น!J176"")"),0)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IFERROR(__xludf.DUMMYFUNCTION("IMPORTRANGE(""https://docs.google.com/spreadsheets/d/1XL5vhW3sbDhbH9Cz0tuDiY8C3ctxq1tqvaCgkFb8cCA/edit?usp=sharing"",""ขอนแก่น!J177"")"),0)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IFERROR(__xludf.DUMMYFUNCTION("IMPORTRANGE(""https://docs.google.com/spreadsheets/d/1XL5vhW3sbDhbH9Cz0tuDiY8C3ctxq1tqvaCgkFb8cCA/edit?usp=sharing"",""ขอนแก่น!J178"")"),0)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IFERROR(__xludf.DUMMYFUNCTION("IMPORTRANGE(""https://docs.google.com/spreadsheets/d/1XL5vhW3sbDhbH9Cz0tuDiY8C3ctxq1tqvaCgkFb8cCA/edit?usp=sharing"",""ขอนแก่น!I179"")"),0)</f>
        <v>0</v>
      </c>
      <c r="J264" s="189">
        <f ca="1">IFERROR(__xludf.DUMMYFUNCTION("IMPORTRANGE(""https://docs.google.com/spreadsheets/d/1XL5vhW3sbDhbH9Cz0tuDiY8C3ctxq1tqvaCgkFb8cCA/edit?usp=sharing"",""ขอนแก่น!J179"")"),0)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IFERROR(__xludf.DUMMYFUNCTION("IMPORTRANGE(""https://docs.google.com/spreadsheets/d/1XL5vhW3sbDhbH9Cz0tuDiY8C3ctxq1tqvaCgkFb8cCA/edit?usp=sharing"",""ขอนแก่น!I180"")"),0)</f>
        <v>0</v>
      </c>
      <c r="J265" s="189">
        <f ca="1">IFERROR(__xludf.DUMMYFUNCTION("IMPORTRANGE(""https://docs.google.com/spreadsheets/d/1XL5vhW3sbDhbH9Cz0tuDiY8C3ctxq1tqvaCgkFb8cCA/edit?usp=sharing"",""ขอนแก่น!J180"")"),0)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IFERROR(__xludf.DUMMYFUNCTION("IMPORTRANGE(""https://docs.google.com/spreadsheets/d/1XL5vhW3sbDhbH9Cz0tuDiY8C3ctxq1tqvaCgkFb8cCA/edit?usp=sharing"",""ขอนแก่น!I181"")"),0)</f>
        <v>0</v>
      </c>
      <c r="J266" s="189">
        <f ca="1">IFERROR(__xludf.DUMMYFUNCTION("IMPORTRANGE(""https://docs.google.com/spreadsheets/d/1XL5vhW3sbDhbH9Cz0tuDiY8C3ctxq1tqvaCgkFb8cCA/edit?usp=sharing"",""ขอนแก่น!J181"")"),0)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IFERROR(__xludf.DUMMYFUNCTION("IMPORTRANGE(""https://docs.google.com/spreadsheets/d/1XL5vhW3sbDhbH9Cz0tuDiY8C3ctxq1tqvaCgkFb8cCA/edit?usp=sharing"",""ขอนแก่น!I182"")"),0)</f>
        <v>0</v>
      </c>
      <c r="J267" s="189">
        <f ca="1">IFERROR(__xludf.DUMMYFUNCTION("IMPORTRANGE(""https://docs.google.com/spreadsheets/d/1XL5vhW3sbDhbH9Cz0tuDiY8C3ctxq1tqvaCgkFb8cCA/edit?usp=sharing"",""ขอนแก่น!J182"")"),0)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IFERROR(__xludf.DUMMYFUNCTION("IMPORTRANGE(""https://docs.google.com/spreadsheets/d/1XL5vhW3sbDhbH9Cz0tuDiY8C3ctxq1tqvaCgkFb8cCA/edit?usp=sharing"",""ขอนแก่น!J183"")"),0)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IFERROR(__xludf.DUMMYFUNCTION("IMPORTRANGE(""https://docs.google.com/spreadsheets/d/1XL5vhW3sbDhbH9Cz0tuDiY8C3ctxq1tqvaCgkFb8cCA/edit?usp=sharing"",""ขอนแก่น!J184"")"),0)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IFERROR(__xludf.DUMMYFUNCTION("IMPORTRANGE(""https://docs.google.com/spreadsheets/d/1XL5vhW3sbDhbH9Cz0tuDiY8C3ctxq1tqvaCgkFb8cCA/edit?usp=sharing"",""ขอนแก่น!I185"")"),15)</f>
        <v>15</v>
      </c>
      <c r="J270" s="316">
        <f ca="1">IFERROR(__xludf.DUMMYFUNCTION("IMPORTRANGE(""https://docs.google.com/spreadsheets/d/1XL5vhW3sbDhbH9Cz0tuDiY8C3ctxq1tqvaCgkFb8cCA/edit?usp=sharing"",""ขอนแก่น!J185"")"),15)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54" t="s">
        <v>17</v>
      </c>
      <c r="E271" s="555"/>
      <c r="F271" s="555"/>
      <c r="G271" s="555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29120</v>
      </c>
      <c r="O271" s="151">
        <f t="shared" ref="O271:O273" ca="1" si="84">IF(L271&gt;0,N271*100/L271,0)</f>
        <v>52.753623188405797</v>
      </c>
      <c r="P271" s="151">
        <f t="shared" ref="P271:P273" ca="1" si="85">IF(M271&gt;0,N271*100/M271,0)</f>
        <v>90.294573643410857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29120</v>
      </c>
      <c r="O273" s="156">
        <f t="shared" ca="1" si="84"/>
        <v>52.753623188405797</v>
      </c>
      <c r="P273" s="156">
        <f t="shared" ca="1" si="85"/>
        <v>90.294573643410857</v>
      </c>
    </row>
    <row r="274" spans="1:16" ht="21.75" customHeight="1" x14ac:dyDescent="0.45">
      <c r="A274" s="158"/>
      <c r="B274" s="159"/>
      <c r="C274" s="159" t="s">
        <v>16</v>
      </c>
      <c r="D274" s="552" t="s">
        <v>20</v>
      </c>
      <c r="E274" s="553"/>
      <c r="F274" s="55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IFERROR(__xludf.DUMMYFUNCTION("IMPORTRANGE(""https://docs.google.com/spreadsheets/d/1Yj_ptqi66GCucihVvJfMjLAmec39IyEx_6qawtMGysU/edit?usp=sharing"",""สบก!CK39"")"),32250)</f>
        <v>32250</v>
      </c>
      <c r="N275" s="169">
        <f ca="1">IFERROR(__xludf.DUMMYFUNCTION("IMPORTRANGE(""https://docs.google.com/spreadsheets/d/1Yj_ptqi66GCucihVvJfMjLAmec39IyEx_6qawtMGysU/edit?usp=sharing"",""สบก!CL39"")"),29120)</f>
        <v>29120</v>
      </c>
      <c r="O275" s="169">
        <f ca="1">IF(L275&gt;0,N275*100/L275,0)</f>
        <v>52.753623188405797</v>
      </c>
      <c r="P275" s="169">
        <f ca="1">IF(M275&gt;0,N275*100/M275,0)</f>
        <v>90.294573643410857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IFERROR(__xludf.DUMMYFUNCTION("IMPORTRANGE(""https://docs.google.com/spreadsheets/d/1Yj_ptqi66GCucihVvJfMjLAmec39IyEx_6qawtMGysU/edit?usp=sharing"",""สบก!CG39"")"),0)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IFERROR(__xludf.DUMMYFUNCTION("IMPORTRANGE(""https://docs.google.com/spreadsheets/d/1Yj_ptqi66GCucihVvJfMjLAmec39IyEx_6qawtMGysU/edit?usp=sharing"",""สบก!CH39"")"),55200)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52" t="s">
        <v>23</v>
      </c>
      <c r="E278" s="55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IFERROR(__xludf.DUMMYFUNCTION("IMPORTRANGE(""https://docs.google.com/spreadsheets/d/1Yj_ptqi66GCucihVvJfMjLAmec39IyEx_6qawtMGysU/edit?usp=sharing"",""สบก!CI39"")"),0)</f>
        <v>0</v>
      </c>
      <c r="M279" s="49"/>
      <c r="N279" s="49">
        <f ca="1">IFERROR(__xludf.DUMMYFUNCTION("IMPORTRANGE(""https://docs.google.com/spreadsheets/d/1Yj_ptqi66GCucihVvJfMjLAmec39IyEx_6qawtMGysU/edit?usp=sharing"",""สบก!CM39"")"),0)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IFERROR(__xludf.DUMMYFUNCTION("IMPORTRANGE(""https://docs.google.com/spreadsheets/d/1XL5vhW3sbDhbH9Cz0tuDiY8C3ctxq1tqvaCgkFb8cCA/edit?usp=sharing"",""ขอนแก่น!J191"")"),0)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IFERROR(__xludf.DUMMYFUNCTION("IMPORTRANGE(""https://docs.google.com/spreadsheets/d/1XL5vhW3sbDhbH9Cz0tuDiY8C3ctxq1tqvaCgkFb8cCA/edit?usp=sharing"",""ขอนแก่น!J192"")"),1)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IFERROR(__xludf.DUMMYFUNCTION("IMPORTRANGE(""https://docs.google.com/spreadsheets/d/1XL5vhW3sbDhbH9Cz0tuDiY8C3ctxq1tqvaCgkFb8cCA/edit?usp=sharing"",""ขอนแก่น!J193"")"),1)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IFERROR(__xludf.DUMMYFUNCTION("IMPORTRANGE(""https://docs.google.com/spreadsheets/d/1XL5vhW3sbDhbH9Cz0tuDiY8C3ctxq1tqvaCgkFb8cCA/edit?usp=sharing"",""ขอนแก่น!J194"")"),0)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IFERROR(__xludf.DUMMYFUNCTION("IMPORTRANGE(""https://docs.google.com/spreadsheets/d/1XL5vhW3sbDhbH9Cz0tuDiY8C3ctxq1tqvaCgkFb8cCA/edit?usp=sharing"",""ขอนแก่น!I195"")"),15)</f>
        <v>15</v>
      </c>
      <c r="J285" s="189">
        <f ca="1">IFERROR(__xludf.DUMMYFUNCTION("IMPORTRANGE(""https://docs.google.com/spreadsheets/d/1XL5vhW3sbDhbH9Cz0tuDiY8C3ctxq1tqvaCgkFb8cCA/edit?usp=sharing"",""ขอนแก่น!J195"")"),15)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IFERROR(__xludf.DUMMYFUNCTION("IMPORTRANGE(""https://docs.google.com/spreadsheets/d/1XL5vhW3sbDhbH9Cz0tuDiY8C3ctxq1tqvaCgkFb8cCA/edit?usp=sharing"",""ขอนแก่น!J196"")"),0)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IFERROR(__xludf.DUMMYFUNCTION("IMPORTRANGE(""https://docs.google.com/spreadsheets/d/1XL5vhW3sbDhbH9Cz0tuDiY8C3ctxq1tqvaCgkFb8cCA/edit?usp=sharing"",""ขอนแก่น!J197"")"),0)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IFERROR(__xludf.DUMMYFUNCTION("IMPORTRANGE(""https://docs.google.com/spreadsheets/d/1XL5vhW3sbDhbH9Cz0tuDiY8C3ctxq1tqvaCgkFb8cCA/edit?usp=sharing"",""ขอนแก่น!I199"")"),0)</f>
        <v>0</v>
      </c>
      <c r="J289" s="316">
        <f ca="1">IFERROR(__xludf.DUMMYFUNCTION("IMPORTRANGE(""https://docs.google.com/spreadsheets/d/1XL5vhW3sbDhbH9Cz0tuDiY8C3ctxq1tqvaCgkFb8cCA/edit?usp=sharing"",""ขอนแก่น!J199"")"),0)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54" t="s">
        <v>17</v>
      </c>
      <c r="E290" s="555"/>
      <c r="F290" s="555"/>
      <c r="G290" s="55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52" t="s">
        <v>20</v>
      </c>
      <c r="E293" s="553"/>
      <c r="F293" s="55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IFERROR(__xludf.DUMMYFUNCTION("IMPORTRANGE(""https://docs.google.com/spreadsheets/d/1Yj_ptqi66GCucihVvJfMjLAmec39IyEx_6qawtMGysU/edit?usp=sharing"",""สบก!CT39"")"),0)</f>
        <v>0</v>
      </c>
      <c r="N294" s="169">
        <f ca="1">IFERROR(__xludf.DUMMYFUNCTION("IMPORTRANGE(""https://docs.google.com/spreadsheets/d/1Yj_ptqi66GCucihVvJfMjLAmec39IyEx_6qawtMGysU/edit?usp=sharing"",""สบก!CU39"")"),0)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IFERROR(__xludf.DUMMYFUNCTION("IMPORTRANGE(""https://docs.google.com/spreadsheets/d/1Yj_ptqi66GCucihVvJfMjLAmec39IyEx_6qawtMGysU/edit?usp=sharing"",""สบก!CP39"")"),0)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IFERROR(__xludf.DUMMYFUNCTION("IMPORTRANGE(""https://docs.google.com/spreadsheets/d/1Yj_ptqi66GCucihVvJfMjLAmec39IyEx_6qawtMGysU/edit?usp=sharing"",""สบก!CQ39"")"),0)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52" t="s">
        <v>23</v>
      </c>
      <c r="E297" s="55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IFERROR(__xludf.DUMMYFUNCTION("IMPORTRANGE(""https://docs.google.com/spreadsheets/d/1Yj_ptqi66GCucihVvJfMjLAmec39IyEx_6qawtMGysU/edit?usp=sharing"",""สบก!CR39"")"),0)</f>
        <v>0</v>
      </c>
      <c r="M298" s="49"/>
      <c r="N298" s="49">
        <f ca="1">IFERROR(__xludf.DUMMYFUNCTION("IMPORTRANGE(""https://docs.google.com/spreadsheets/d/1Yj_ptqi66GCucihVvJfMjLAmec39IyEx_6qawtMGysU/edit?usp=sharing"",""สบก!CV39"")"),0)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IFERROR(__xludf.DUMMYFUNCTION("IMPORTRANGE(""https://docs.google.com/spreadsheets/d/1XL5vhW3sbDhbH9Cz0tuDiY8C3ctxq1tqvaCgkFb8cCA/edit?usp=sharing"",""ขอนแก่น!J205"")"),0)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IFERROR(__xludf.DUMMYFUNCTION("IMPORTRANGE(""https://docs.google.com/spreadsheets/d/1XL5vhW3sbDhbH9Cz0tuDiY8C3ctxq1tqvaCgkFb8cCA/edit?usp=sharing"",""ขอนแก่น!J206"")"),0)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IFERROR(__xludf.DUMMYFUNCTION("IMPORTRANGE(""https://docs.google.com/spreadsheets/d/1XL5vhW3sbDhbH9Cz0tuDiY8C3ctxq1tqvaCgkFb8cCA/edit?usp=sharing"",""ขอนแก่น!J207"")"),0)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IFERROR(__xludf.DUMMYFUNCTION("IMPORTRANGE(""https://docs.google.com/spreadsheets/d/1XL5vhW3sbDhbH9Cz0tuDiY8C3ctxq1tqvaCgkFb8cCA/edit?usp=sharing"",""ขอนแก่น!J208"")"),0)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IFERROR(__xludf.DUMMYFUNCTION("IMPORTRANGE(""https://docs.google.com/spreadsheets/d/1XL5vhW3sbDhbH9Cz0tuDiY8C3ctxq1tqvaCgkFb8cCA/edit?usp=sharing"",""ขอนแก่น!I209"")"),0)</f>
        <v>0</v>
      </c>
      <c r="J304" s="204">
        <f ca="1">IFERROR(__xludf.DUMMYFUNCTION("IMPORTRANGE(""https://docs.google.com/spreadsheets/d/1XL5vhW3sbDhbH9Cz0tuDiY8C3ctxq1tqvaCgkFb8cCA/edit?usp=sharing"",""ขอนแก่น!J209"")"),0)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IFERROR(__xludf.DUMMYFUNCTION("IMPORTRANGE(""https://docs.google.com/spreadsheets/d/1XL5vhW3sbDhbH9Cz0tuDiY8C3ctxq1tqvaCgkFb8cCA/edit?usp=sharing"",""ขอนแก่น!I211"")"),0)</f>
        <v>0</v>
      </c>
      <c r="J306" s="204">
        <f ca="1">IFERROR(__xludf.DUMMYFUNCTION("IMPORTRANGE(""https://docs.google.com/spreadsheets/d/1XL5vhW3sbDhbH9Cz0tuDiY8C3ctxq1tqvaCgkFb8cCA/edit?usp=sharing"",""ขอนแก่น!J211"")"),0)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IFERROR(__xludf.DUMMYFUNCTION("IMPORTRANGE(""https://docs.google.com/spreadsheets/d/1XL5vhW3sbDhbH9Cz0tuDiY8C3ctxq1tqvaCgkFb8cCA/edit?usp=sharing"",""ขอนแก่น!J212"")"),0)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IFERROR(__xludf.DUMMYFUNCTION("IMPORTRANGE(""https://docs.google.com/spreadsheets/d/1XL5vhW3sbDhbH9Cz0tuDiY8C3ctxq1tqvaCgkFb8cCA/edit?usp=sharing"",""ขอนแก่น!J213"")"),0)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IFERROR(__xludf.DUMMYFUNCTION("IMPORTRANGE(""https://docs.google.com/spreadsheets/d/1XL5vhW3sbDhbH9Cz0tuDiY8C3ctxq1tqvaCgkFb8cCA/edit?usp=sharing"",""ขอนแก่น!I214"")"),0)</f>
        <v>0</v>
      </c>
      <c r="J309" s="333">
        <f ca="1">IFERROR(__xludf.DUMMYFUNCTION("IMPORTRANGE(""https://docs.google.com/spreadsheets/d/1XL5vhW3sbDhbH9Cz0tuDiY8C3ctxq1tqvaCgkFb8cCA/edit?usp=sharing"",""ขอนแก่น!J214"")"),0)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54" t="s">
        <v>17</v>
      </c>
      <c r="E310" s="555"/>
      <c r="F310" s="555"/>
      <c r="G310" s="55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52" t="s">
        <v>20</v>
      </c>
      <c r="E313" s="553"/>
      <c r="F313" s="55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IFERROR(__xludf.DUMMYFUNCTION("IMPORTRANGE(""https://docs.google.com/spreadsheets/d/1Yj_ptqi66GCucihVvJfMjLAmec39IyEx_6qawtMGysU/edit?usp=sharing"",""สบก!DC39"")"),0)</f>
        <v>0</v>
      </c>
      <c r="N314" s="169">
        <f ca="1">IFERROR(__xludf.DUMMYFUNCTION("IMPORTRANGE(""https://docs.google.com/spreadsheets/d/1Yj_ptqi66GCucihVvJfMjLAmec39IyEx_6qawtMGysU/edit?usp=sharing"",""สบก!DD39"")"),0)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IFERROR(__xludf.DUMMYFUNCTION("IMPORTRANGE(""https://docs.google.com/spreadsheets/d/1Yj_ptqi66GCucihVvJfMjLAmec39IyEx_6qawtMGysU/edit?usp=sharing"",""สบก!CY39"")"),0)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IFERROR(__xludf.DUMMYFUNCTION("IMPORTRANGE(""https://docs.google.com/spreadsheets/d/1Yj_ptqi66GCucihVvJfMjLAmec39IyEx_6qawtMGysU/edit?usp=sharing"",""สบก!CZ39"")"),0)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52" t="s">
        <v>23</v>
      </c>
      <c r="E317" s="55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IFERROR(__xludf.DUMMYFUNCTION("IMPORTRANGE(""https://docs.google.com/spreadsheets/d/1Yj_ptqi66GCucihVvJfMjLAmec39IyEx_6qawtMGysU/edit?usp=sharing"",""สบก!DA39"")"),0)</f>
        <v>0</v>
      </c>
      <c r="M318" s="49"/>
      <c r="N318" s="49">
        <f ca="1">IFERROR(__xludf.DUMMYFUNCTION("IMPORTRANGE(""https://docs.google.com/spreadsheets/d/1Yj_ptqi66GCucihVvJfMjLAmec39IyEx_6qawtMGysU/edit?usp=sharing"",""สบก!DE39"")"),0)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IFERROR(__xludf.DUMMYFUNCTION("IMPORTRANGE(""https://docs.google.com/spreadsheets/d/1XL5vhW3sbDhbH9Cz0tuDiY8C3ctxq1tqvaCgkFb8cCA/edit?usp=sharing"",""ขอนแก่น!J220"")"),0)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IFERROR(__xludf.DUMMYFUNCTION("IMPORTRANGE(""https://docs.google.com/spreadsheets/d/1XL5vhW3sbDhbH9Cz0tuDiY8C3ctxq1tqvaCgkFb8cCA/edit?usp=sharing"",""ขอนแก่น!J221"")"),0)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IFERROR(__xludf.DUMMYFUNCTION("IMPORTRANGE(""https://docs.google.com/spreadsheets/d/1XL5vhW3sbDhbH9Cz0tuDiY8C3ctxq1tqvaCgkFb8cCA/edit?usp=sharing"",""ขอนแก่น!J222"")"),0)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IFERROR(__xludf.DUMMYFUNCTION("IMPORTRANGE(""https://docs.google.com/spreadsheets/d/1XL5vhW3sbDhbH9Cz0tuDiY8C3ctxq1tqvaCgkFb8cCA/edit?usp=sharing"",""ขอนแก่น!J223"")"),0)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IFERROR(__xludf.DUMMYFUNCTION("IMPORTRANGE(""https://docs.google.com/spreadsheets/d/1XL5vhW3sbDhbH9Cz0tuDiY8C3ctxq1tqvaCgkFb8cCA/edit?usp=sharing"",""ขอนแก่น!I224"")"),0)</f>
        <v>0</v>
      </c>
      <c r="J324" s="204">
        <f ca="1">IFERROR(__xludf.DUMMYFUNCTION("IMPORTRANGE(""https://docs.google.com/spreadsheets/d/1XL5vhW3sbDhbH9Cz0tuDiY8C3ctxq1tqvaCgkFb8cCA/edit?usp=sharing"",""ขอนแก่น!J224"")"),0)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IFERROR(__xludf.DUMMYFUNCTION("IMPORTRANGE(""https://docs.google.com/spreadsheets/d/1XL5vhW3sbDhbH9Cz0tuDiY8C3ctxq1tqvaCgkFb8cCA/edit?usp=sharing"",""ขอนแก่น!J225"")"),0)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IFERROR(__xludf.DUMMYFUNCTION("IMPORTRANGE(""https://docs.google.com/spreadsheets/d/1XL5vhW3sbDhbH9Cz0tuDiY8C3ctxq1tqvaCgkFb8cCA/edit?usp=sharing"",""ขอนแก่น!J226"")"),0)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IFERROR(__xludf.DUMMYFUNCTION("IMPORTRANGE(""https://docs.google.com/spreadsheets/d/1XL5vhW3sbDhbH9Cz0tuDiY8C3ctxq1tqvaCgkFb8cCA/edit?usp=sharing"",""ขอนแก่น!I228"")"),400)</f>
        <v>400</v>
      </c>
      <c r="J328" s="339">
        <f ca="1">IFERROR(__xludf.DUMMYFUNCTION("IMPORTRANGE(""https://docs.google.com/spreadsheets/d/1XL5vhW3sbDhbH9Cz0tuDiY8C3ctxq1tqvaCgkFb8cCA/edit?usp=sharing"",""ขอนแก่น!J228"")"),486)</f>
        <v>486</v>
      </c>
      <c r="K328" s="317">
        <f ca="1">IF(I328&gt;0,J328*100/I328,0)</f>
        <v>121.5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54" t="s">
        <v>17</v>
      </c>
      <c r="E329" s="555"/>
      <c r="F329" s="555"/>
      <c r="G329" s="555"/>
      <c r="H329" s="149" t="s">
        <v>12</v>
      </c>
      <c r="I329" s="162"/>
      <c r="J329" s="162"/>
      <c r="K329" s="163"/>
      <c r="L329" s="152">
        <f t="shared" ref="L329:N329" ca="1" si="98">L330+L331</f>
        <v>1211000</v>
      </c>
      <c r="M329" s="152">
        <f t="shared" ca="1" si="98"/>
        <v>875110</v>
      </c>
      <c r="N329" s="152">
        <f t="shared" ca="1" si="98"/>
        <v>721772.87</v>
      </c>
      <c r="O329" s="151">
        <f t="shared" ref="O329:O331" ca="1" si="99">IF(L329&gt;0,N329*100/L329,0)</f>
        <v>59.601393063583814</v>
      </c>
      <c r="P329" s="151">
        <f t="shared" ref="P329:P331" ca="1" si="100">IF(M329&gt;0,N329*100/M329,0)</f>
        <v>82.47795934225411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1211000</v>
      </c>
      <c r="M331" s="157">
        <f t="shared" ca="1" si="102"/>
        <v>875110</v>
      </c>
      <c r="N331" s="157">
        <f t="shared" ca="1" si="102"/>
        <v>721772.87</v>
      </c>
      <c r="O331" s="156">
        <f t="shared" ca="1" si="99"/>
        <v>59.601393063583814</v>
      </c>
      <c r="P331" s="156">
        <f t="shared" ca="1" si="100"/>
        <v>82.47795934225411</v>
      </c>
    </row>
    <row r="332" spans="1:16" ht="21.75" customHeight="1" x14ac:dyDescent="0.45">
      <c r="A332" s="158"/>
      <c r="B332" s="159"/>
      <c r="C332" s="159" t="s">
        <v>16</v>
      </c>
      <c r="D332" s="552" t="s">
        <v>20</v>
      </c>
      <c r="E332" s="553"/>
      <c r="F332" s="55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1194000</v>
      </c>
      <c r="M333" s="168">
        <f ca="1">IFERROR(__xludf.DUMMYFUNCTION("IMPORTRANGE(""https://docs.google.com/spreadsheets/d/1Yj_ptqi66GCucihVvJfMjLAmec39IyEx_6qawtMGysU/edit?usp=sharing"",""สบก!DL39"")"),858110)</f>
        <v>858110</v>
      </c>
      <c r="N333" s="169">
        <f ca="1">IFERROR(__xludf.DUMMYFUNCTION("IMPORTRANGE(""https://docs.google.com/spreadsheets/d/1Yj_ptqi66GCucihVvJfMjLAmec39IyEx_6qawtMGysU/edit?usp=sharing"",""สบก!DM39"")"),704772.87)</f>
        <v>704772.87</v>
      </c>
      <c r="O333" s="169">
        <f ca="1">IF(L333&gt;0,N333*100/L333,0)</f>
        <v>59.026203517587938</v>
      </c>
      <c r="P333" s="169">
        <f ca="1">IF(M333&gt;0,N333*100/M333,0)</f>
        <v>82.130830546200372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IFERROR(__xludf.DUMMYFUNCTION("IMPORTRANGE(""https://docs.google.com/spreadsheets/d/1Yj_ptqi66GCucihVvJfMjLAmec39IyEx_6qawtMGysU/edit?usp=sharing"",""สบก!DH39"")"),500400)</f>
        <v>500400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IFERROR(__xludf.DUMMYFUNCTION("IMPORTRANGE(""https://docs.google.com/spreadsheets/d/1Yj_ptqi66GCucihVvJfMjLAmec39IyEx_6qawtMGysU/edit?usp=sharing"",""สบก!DI39"")"),693600)</f>
        <v>693600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52" t="s">
        <v>23</v>
      </c>
      <c r="E336" s="55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IFERROR(__xludf.DUMMYFUNCTION("IMPORTRANGE(""https://docs.google.com/spreadsheets/d/1Yj_ptqi66GCucihVvJfMjLAmec39IyEx_6qawtMGysU/edit?usp=sharing"",""สบก!DJ39"")"),17000)</f>
        <v>17000</v>
      </c>
      <c r="M337" s="49">
        <f ca="1">L337</f>
        <v>17000</v>
      </c>
      <c r="N337" s="49">
        <f ca="1">IFERROR(__xludf.DUMMYFUNCTION("IMPORTRANGE(""https://docs.google.com/spreadsheets/d/1Yj_ptqi66GCucihVvJfMjLAmec39IyEx_6qawtMGysU/edit?usp=sharing"",""สบก!DN39"")"),17000)</f>
        <v>17000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IFERROR(__xludf.DUMMYFUNCTION("IMPORTRANGE(""https://docs.google.com/spreadsheets/d/1XL5vhW3sbDhbH9Cz0tuDiY8C3ctxq1tqvaCgkFb8cCA/edit?usp=sharing"",""ขอนแก่น!I234"")"),0)</f>
        <v>0</v>
      </c>
      <c r="J339" s="188">
        <f ca="1">IFERROR(__xludf.DUMMYFUNCTION("IMPORTRANGE(""https://docs.google.com/spreadsheets/d/1XL5vhW3sbDhbH9Cz0tuDiY8C3ctxq1tqvaCgkFb8cCA/edit?usp=sharing"",""ขอนแก่น!J234"")"),259)</f>
        <v>259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IFERROR(__xludf.DUMMYFUNCTION("IMPORTRANGE(""https://docs.google.com/spreadsheets/d/1XL5vhW3sbDhbH9Cz0tuDiY8C3ctxq1tqvaCgkFb8cCA/edit?usp=sharing"",""ขอนแก่น!I235"")"),4000)</f>
        <v>4000</v>
      </c>
      <c r="J340" s="188">
        <f ca="1">IFERROR(__xludf.DUMMYFUNCTION("IMPORTRANGE(""https://docs.google.com/spreadsheets/d/1XL5vhW3sbDhbH9Cz0tuDiY8C3ctxq1tqvaCgkFb8cCA/edit?usp=sharing"",""ขอนแก่น!J235"")"),2243.93)</f>
        <v>2243.9299999999998</v>
      </c>
      <c r="K340" s="342">
        <f t="shared" ca="1" si="103"/>
        <v>56.098249999999993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IFERROR(__xludf.DUMMYFUNCTION("IMPORTRANGE(""https://docs.google.com/spreadsheets/d/1XL5vhW3sbDhbH9Cz0tuDiY8C3ctxq1tqvaCgkFb8cCA/edit?usp=sharing"",""ขอนแก่น!I236"")"),400)</f>
        <v>400</v>
      </c>
      <c r="J341" s="188">
        <f ca="1">IFERROR(__xludf.DUMMYFUNCTION("IMPORTRANGE(""https://docs.google.com/spreadsheets/d/1XL5vhW3sbDhbH9Cz0tuDiY8C3ctxq1tqvaCgkFb8cCA/edit?usp=sharing"",""ขอนแก่น!J236"")"),514)</f>
        <v>514</v>
      </c>
      <c r="K341" s="342">
        <f t="shared" ca="1" si="103"/>
        <v>128.5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IFERROR(__xludf.DUMMYFUNCTION("IMPORTRANGE(""https://docs.google.com/spreadsheets/d/1XL5vhW3sbDhbH9Cz0tuDiY8C3ctxq1tqvaCgkFb8cCA/edit?usp=sharing"",""ขอนแก่น!I237"")"),0)</f>
        <v>0</v>
      </c>
      <c r="J342" s="188">
        <f ca="1">IFERROR(__xludf.DUMMYFUNCTION("IMPORTRANGE(""https://docs.google.com/spreadsheets/d/1XL5vhW3sbDhbH9Cz0tuDiY8C3ctxq1tqvaCgkFb8cCA/edit?usp=sharing"",""ขอนแก่น!J237"")"),5357.64)</f>
        <v>5357.64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IFERROR(__xludf.DUMMYFUNCTION("IMPORTRANGE(""https://docs.google.com/spreadsheets/d/1XL5vhW3sbDhbH9Cz0tuDiY8C3ctxq1tqvaCgkFb8cCA/edit?usp=sharing"",""ขอนแก่น!I238"")"),400)</f>
        <v>400</v>
      </c>
      <c r="J343" s="188">
        <f ca="1">IFERROR(__xludf.DUMMYFUNCTION("IMPORTRANGE(""https://docs.google.com/spreadsheets/d/1XL5vhW3sbDhbH9Cz0tuDiY8C3ctxq1tqvaCgkFb8cCA/edit?usp=sharing"",""ขอนแก่น!J238"")"),77)</f>
        <v>77</v>
      </c>
      <c r="K343" s="342">
        <f t="shared" ca="1" si="103"/>
        <v>19.25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IFERROR(__xludf.DUMMYFUNCTION("IMPORTRANGE(""https://docs.google.com/spreadsheets/d/1XL5vhW3sbDhbH9Cz0tuDiY8C3ctxq1tqvaCgkFb8cCA/edit?usp=sharing"",""ขอนแก่น!I239"")"),0)</f>
        <v>0</v>
      </c>
      <c r="J344" s="188">
        <f ca="1">IFERROR(__xludf.DUMMYFUNCTION("IMPORTRANGE(""https://docs.google.com/spreadsheets/d/1XL5vhW3sbDhbH9Cz0tuDiY8C3ctxq1tqvaCgkFb8cCA/edit?usp=sharing"",""ขอนแก่น!J239"")"),864.62)</f>
        <v>864.62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IFERROR(__xludf.DUMMYFUNCTION("IMPORTRANGE(""https://docs.google.com/spreadsheets/d/1XL5vhW3sbDhbH9Cz0tuDiY8C3ctxq1tqvaCgkFb8cCA/edit?usp=sharing"",""ขอนแก่น!I240"")"),400)</f>
        <v>400</v>
      </c>
      <c r="J345" s="188">
        <f ca="1">IFERROR(__xludf.DUMMYFUNCTION("IMPORTRANGE(""https://docs.google.com/spreadsheets/d/1XL5vhW3sbDhbH9Cz0tuDiY8C3ctxq1tqvaCgkFb8cCA/edit?usp=sharing"",""ขอนแก่น!J240"")"),486)</f>
        <v>486</v>
      </c>
      <c r="K345" s="342">
        <f t="shared" ca="1" si="103"/>
        <v>121.5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IFERROR(__xludf.DUMMYFUNCTION("IMPORTRANGE(""https://docs.google.com/spreadsheets/d/1XL5vhW3sbDhbH9Cz0tuDiY8C3ctxq1tqvaCgkFb8cCA/edit?usp=sharing"",""ขอนแก่น!I241"")"),0)</f>
        <v>0</v>
      </c>
      <c r="J346" s="188">
        <f ca="1">IFERROR(__xludf.DUMMYFUNCTION("IMPORTRANGE(""https://docs.google.com/spreadsheets/d/1XL5vhW3sbDhbH9Cz0tuDiY8C3ctxq1tqvaCgkFb8cCA/edit?usp=sharing"",""ขอนแก่น!J241"")"),5446.43)</f>
        <v>5446.43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IFERROR(__xludf.DUMMYFUNCTION("IMPORTRANGE(""https://docs.google.com/spreadsheets/d/1XL5vhW3sbDhbH9Cz0tuDiY8C3ctxq1tqvaCgkFb8cCA/edit?usp=sharing"",""ขอนแก่น!L242"")"),2734921)</f>
        <v>2734921</v>
      </c>
      <c r="M347" s="358"/>
      <c r="N347" s="358">
        <f ca="1">IFERROR(__xludf.DUMMYFUNCTION("IMPORTRANGE(""https://docs.google.com/spreadsheets/d/1XL5vhW3sbDhbH9Cz0tuDiY8C3ctxq1tqvaCgkFb8cCA/edit?usp=sharing"",""ขอนแก่น!M242"")"),810403.77)</f>
        <v>810403.77</v>
      </c>
      <c r="O347" s="358">
        <f ca="1">+IF(L347&gt;0,N347*100/L347,0)</f>
        <v>29.631706729371707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IFERROR(__xludf.DUMMYFUNCTION("IMPORTRANGE(""https://docs.google.com/spreadsheets/d/1XL5vhW3sbDhbH9Cz0tuDiY8C3ctxq1tqvaCgkFb8cCA/edit?usp=sharing"",""ขอนแก่น!I244"")"),95)</f>
        <v>95</v>
      </c>
      <c r="J349" s="371">
        <f ca="1">IFERROR(__xludf.DUMMYFUNCTION("IMPORTRANGE(""https://docs.google.com/spreadsheets/d/1XL5vhW3sbDhbH9Cz0tuDiY8C3ctxq1tqvaCgkFb8cCA/edit?usp=sharing"",""ขอนแก่น!J244"")"),0)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IFERROR(__xludf.DUMMYFUNCTION("IMPORTRANGE(""https://docs.google.com/spreadsheets/d/1XL5vhW3sbDhbH9Cz0tuDiY8C3ctxq1tqvaCgkFb8cCA/edit?usp=sharing"",""ขอนแก่น!L244"")"),349530)</f>
        <v>349530</v>
      </c>
      <c r="M349" s="373"/>
      <c r="N349" s="373">
        <f ca="1">IFERROR(__xludf.DUMMYFUNCTION("IMPORTRANGE(""https://docs.google.com/spreadsheets/d/1XL5vhW3sbDhbH9Cz0tuDiY8C3ctxq1tqvaCgkFb8cCA/edit?usp=sharing"",""ขอนแก่น!M244"")"),164123.33)</f>
        <v>164123.32999999999</v>
      </c>
      <c r="O349" s="373">
        <f ca="1">+IF(L349&gt;0,N349*100/L349,0)</f>
        <v>46.955434440534425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IFERROR(__xludf.DUMMYFUNCTION("IMPORTRANGE(""https://docs.google.com/spreadsheets/d/1XL5vhW3sbDhbH9Cz0tuDiY8C3ctxq1tqvaCgkFb8cCA/edit?usp=sharing"",""ขอนแก่น!I245"")"),55)</f>
        <v>55</v>
      </c>
      <c r="J350" s="371">
        <f ca="1">IFERROR(__xludf.DUMMYFUNCTION("IMPORTRANGE(""https://docs.google.com/spreadsheets/d/1XL5vhW3sbDhbH9Cz0tuDiY8C3ctxq1tqvaCgkFb8cCA/edit?usp=sharing"",""ขอนแก่น!J245"")"),55)</f>
        <v>55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IFERROR(__xludf.DUMMYFUNCTION("IMPORTRANGE(""https://docs.google.com/spreadsheets/d/1XL5vhW3sbDhbH9Cz0tuDiY8C3ctxq1tqvaCgkFb8cCA/edit?usp=sharing"",""ขอนแก่น!L246"")"),0)</f>
        <v>0</v>
      </c>
      <c r="M351" s="164"/>
      <c r="N351" s="164">
        <f ca="1">IFERROR(__xludf.DUMMYFUNCTION("IMPORTRANGE(""https://docs.google.com/spreadsheets/d/1XL5vhW3sbDhbH9Cz0tuDiY8C3ctxq1tqvaCgkFb8cCA/edit?usp=sharing"",""ขอนแก่น!M246"")"),0)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IFERROR(__xludf.DUMMYFUNCTION("IMPORTRANGE(""https://docs.google.com/spreadsheets/d/1XL5vhW3sbDhbH9Cz0tuDiY8C3ctxq1tqvaCgkFb8cCA/edit?usp=sharing"",""ขอนแก่น!L247"")"),349530)</f>
        <v>349530</v>
      </c>
      <c r="M352" s="165"/>
      <c r="N352" s="164">
        <f ca="1">IFERROR(__xludf.DUMMYFUNCTION("IMPORTRANGE(""https://docs.google.com/spreadsheets/d/1XL5vhW3sbDhbH9Cz0tuDiY8C3ctxq1tqvaCgkFb8cCA/edit?usp=sharing"",""ขอนแก่น!M247"")"),164123.33)</f>
        <v>164123.32999999999</v>
      </c>
      <c r="O352" s="165">
        <f t="shared" ca="1" si="105"/>
        <v>46.955434440534425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IFERROR(__xludf.DUMMYFUNCTION("IMPORTRANGE(""https://docs.google.com/spreadsheets/d/1XL5vhW3sbDhbH9Cz0tuDiY8C3ctxq1tqvaCgkFb8cCA/edit?usp=sharing"",""ขอนแก่น!L248"")"),0)</f>
        <v>0</v>
      </c>
      <c r="M353" s="169"/>
      <c r="N353" s="169">
        <f ca="1">IFERROR(__xludf.DUMMYFUNCTION("IMPORTRANGE(""https://docs.google.com/spreadsheets/d/1XL5vhW3sbDhbH9Cz0tuDiY8C3ctxq1tqvaCgkFb8cCA/edit?usp=sharing"",""ขอนแก่น!M248"")"),0)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IFERROR(__xludf.DUMMYFUNCTION("IMPORTRANGE(""https://docs.google.com/spreadsheets/d/1XL5vhW3sbDhbH9Cz0tuDiY8C3ctxq1tqvaCgkFb8cCA/edit?usp=sharing"",""ขอนแก่น!L249"")"),349530)</f>
        <v>349530</v>
      </c>
      <c r="M354" s="169"/>
      <c r="N354" s="168">
        <f ca="1">IFERROR(__xludf.DUMMYFUNCTION("IMPORTRANGE(""https://docs.google.com/spreadsheets/d/1XL5vhW3sbDhbH9Cz0tuDiY8C3ctxq1tqvaCgkFb8cCA/edit?usp=sharing"",""ขอนแก่น!M249"")"),164123.33)</f>
        <v>164123.32999999999</v>
      </c>
      <c r="O354" s="169">
        <f t="shared" ca="1" si="105"/>
        <v>46.955434440534425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IFERROR(__xludf.DUMMYFUNCTION("IMPORTRANGE(""https://docs.google.com/spreadsheets/d/1XL5vhW3sbDhbH9Cz0tuDiY8C3ctxq1tqvaCgkFb8cCA/edit?usp=sharing"",""ขอนแก่น!M250"")"),39330)</f>
        <v>39330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IFERROR(__xludf.DUMMYFUNCTION("IMPORTRANGE(""https://docs.google.com/spreadsheets/d/1XL5vhW3sbDhbH9Cz0tuDiY8C3ctxq1tqvaCgkFb8cCA/edit?usp=sharing"",""ขอนแก่น!M251"")"),59925)</f>
        <v>59925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IFERROR(__xludf.DUMMYFUNCTION("IMPORTRANGE(""https://docs.google.com/spreadsheets/d/1XL5vhW3sbDhbH9Cz0tuDiY8C3ctxq1tqvaCgkFb8cCA/edit?usp=sharing"",""ขอนแก่น!M252"")"),54633.33)</f>
        <v>54633.33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IFERROR(__xludf.DUMMYFUNCTION("IMPORTRANGE(""https://docs.google.com/spreadsheets/d/1XL5vhW3sbDhbH9Cz0tuDiY8C3ctxq1tqvaCgkFb8cCA/edit?usp=sharing"",""ขอนแก่น!M253"")"),10235)</f>
        <v>10235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IFERROR(__xludf.DUMMYFUNCTION("IMPORTRANGE(""https://docs.google.com/spreadsheets/d/1XL5vhW3sbDhbH9Cz0tuDiY8C3ctxq1tqvaCgkFb8cCA/edit?usp=sharing"",""ขอนแก่น!J255"")"),0)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IFERROR(__xludf.DUMMYFUNCTION("IMPORTRANGE(""https://docs.google.com/spreadsheets/d/1XL5vhW3sbDhbH9Cz0tuDiY8C3ctxq1tqvaCgkFb8cCA/edit?usp=sharing"",""ขอนแก่น!J256"")"),1)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IFERROR(__xludf.DUMMYFUNCTION("IMPORTRANGE(""https://docs.google.com/spreadsheets/d/1XL5vhW3sbDhbH9Cz0tuDiY8C3ctxq1tqvaCgkFb8cCA/edit?usp=sharing"",""ขอนแก่น!J257"")"),1)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IFERROR(__xludf.DUMMYFUNCTION("IMPORTRANGE(""https://docs.google.com/spreadsheets/d/1XL5vhW3sbDhbH9Cz0tuDiY8C3ctxq1tqvaCgkFb8cCA/edit?usp=sharing"",""ขอนแก่น!J258"")"),0)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IFERROR(__xludf.DUMMYFUNCTION("IMPORTRANGE(""https://docs.google.com/spreadsheets/d/1XL5vhW3sbDhbH9Cz0tuDiY8C3ctxq1tqvaCgkFb8cCA/edit?usp=sharing"",""ขอนแก่น!J166"")"),0)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IFERROR(__xludf.DUMMYFUNCTION("IMPORTRANGE(""https://docs.google.com/spreadsheets/d/1XL5vhW3sbDhbH9Cz0tuDiY8C3ctxq1tqvaCgkFb8cCA/edit?usp=sharing"",""ขอนแก่น!J166"")"),0)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IFERROR(__xludf.DUMMYFUNCTION("IMPORTRANGE(""https://docs.google.com/spreadsheets/d/1XL5vhW3sbDhbH9Cz0tuDiY8C3ctxq1tqvaCgkFb8cCA/edit?usp=sharing"",""ขอนแก่น!J166"")"),0)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IFERROR(__xludf.DUMMYFUNCTION("IMPORTRANGE(""https://docs.google.com/spreadsheets/d/1XL5vhW3sbDhbH9Cz0tuDiY8C3ctxq1tqvaCgkFb8cCA/edit?usp=sharing"",""ขอนแก่น!J166"")"),0)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IFERROR(__xludf.DUMMYFUNCTION("IMPORTRANGE(""https://docs.google.com/spreadsheets/d/1XL5vhW3sbDhbH9Cz0tuDiY8C3ctxq1tqvaCgkFb8cCA/edit?usp=sharing"",""ขอนแก่น!I263"")"),55)</f>
        <v>55</v>
      </c>
      <c r="J368" s="188">
        <f ca="1">IFERROR(__xludf.DUMMYFUNCTION("IMPORTRANGE(""https://docs.google.com/spreadsheets/d/1XL5vhW3sbDhbH9Cz0tuDiY8C3ctxq1tqvaCgkFb8cCA/edit?usp=sharing"",""ขอนแก่น!J263"")"),55)</f>
        <v>55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IFERROR(__xludf.DUMMYFUNCTION("IMPORTRANGE(""https://docs.google.com/spreadsheets/d/1XL5vhW3sbDhbH9Cz0tuDiY8C3ctxq1tqvaCgkFb8cCA/edit?usp=sharing"",""ขอนแก่น!I164"")"),0)</f>
        <v>0</v>
      </c>
      <c r="J369" s="204">
        <f ca="1">IFERROR(__xludf.DUMMYFUNCTION("IMPORTRANGE(""https://docs.google.com/spreadsheets/d/1XL5vhW3sbDhbH9Cz0tuDiY8C3ctxq1tqvaCgkFb8cCA/edit?usp=sharing"",""ขอนแก่น!J164"")"),0)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293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IFERROR(__xludf.DUMMYFUNCTION("IMPORTRANGE(""https://docs.google.com/spreadsheets/d/1XL5vhW3sbDhbH9Cz0tuDiY8C3ctxq1tqvaCgkFb8cCA/edit?usp=sharing"",""ขอนแก่น!I265"")"),55)</f>
        <v>55</v>
      </c>
      <c r="J370" s="204">
        <f ca="1">IFERROR(__xludf.DUMMYFUNCTION("IMPORTRANGE(""https://docs.google.com/spreadsheets/d/1XL5vhW3sbDhbH9Cz0tuDiY8C3ctxq1tqvaCgkFb8cCA/edit?usp=sharing"",""ขอนแก่น!J265"")"),55)</f>
        <v>55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IFERROR(__xludf.DUMMYFUNCTION("IMPORTRANGE(""https://docs.google.com/spreadsheets/d/1XL5vhW3sbDhbH9Cz0tuDiY8C3ctxq1tqvaCgkFb8cCA/edit?usp=sharing"",""ขอนแก่น!I164"")"),0)</f>
        <v>0</v>
      </c>
      <c r="J371" s="189">
        <f ca="1">IFERROR(__xludf.DUMMYFUNCTION("IMPORTRANGE(""https://docs.google.com/spreadsheets/d/1XL5vhW3sbDhbH9Cz0tuDiY8C3ctxq1tqvaCgkFb8cCA/edit?usp=sharing"",""ขอนแก่น!J164"")"),0)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293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IFERROR(__xludf.DUMMYFUNCTION("IMPORTRANGE(""https://docs.google.com/spreadsheets/d/1XL5vhW3sbDhbH9Cz0tuDiY8C3ctxq1tqvaCgkFb8cCA/edit?usp=sharing"",""ขอนแก่น!I267"")"),55)</f>
        <v>55</v>
      </c>
      <c r="J372" s="189">
        <f ca="1">IFERROR(__xludf.DUMMYFUNCTION("IMPORTRANGE(""https://docs.google.com/spreadsheets/d/1XL5vhW3sbDhbH9Cz0tuDiY8C3ctxq1tqvaCgkFb8cCA/edit?usp=sharing"",""ขอนแก่น!J267"")"),0)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IFERROR(__xludf.DUMMYFUNCTION("IMPORTRANGE(""https://docs.google.com/spreadsheets/d/1XL5vhW3sbDhbH9Cz0tuDiY8C3ctxq1tqvaCgkFb8cCA/edit?usp=sharing"",""ขอนแก่น!I164"")"),0)</f>
        <v>0</v>
      </c>
      <c r="J373" s="204">
        <f ca="1">IFERROR(__xludf.DUMMYFUNCTION("IMPORTRANGE(""https://docs.google.com/spreadsheets/d/1XL5vhW3sbDhbH9Cz0tuDiY8C3ctxq1tqvaCgkFb8cCA/edit?usp=sharing"",""ขอนแก่น!J164"")"),0)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IFERROR(__xludf.DUMMYFUNCTION("IMPORTRANGE(""https://docs.google.com/spreadsheets/d/1XL5vhW3sbDhbH9Cz0tuDiY8C3ctxq1tqvaCgkFb8cCA/edit?usp=sharing"",""ขอนแก่น!I164"")"),0)</f>
        <v>0</v>
      </c>
      <c r="J374" s="188">
        <f ca="1">IFERROR(__xludf.DUMMYFUNCTION("IMPORTRANGE(""https://docs.google.com/spreadsheets/d/1XL5vhW3sbDhbH9Cz0tuDiY8C3ctxq1tqvaCgkFb8cCA/edit?usp=sharing"",""ขอนแก่น!J164"")"),0)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IFERROR(__xludf.DUMMYFUNCTION("IMPORTRANGE(""https://docs.google.com/spreadsheets/d/1XL5vhW3sbDhbH9Cz0tuDiY8C3ctxq1tqvaCgkFb8cCA/edit?usp=sharing"",""ขอนแก่น!I270"")"),95)</f>
        <v>95</v>
      </c>
      <c r="J375" s="188">
        <f ca="1">IFERROR(__xludf.DUMMYFUNCTION("IMPORTRANGE(""https://docs.google.com/spreadsheets/d/1XL5vhW3sbDhbH9Cz0tuDiY8C3ctxq1tqvaCgkFb8cCA/edit?usp=sharing"",""ขอนแก่น!J270"")"),0)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IFERROR(__xludf.DUMMYFUNCTION("IMPORTRANGE(""https://docs.google.com/spreadsheets/d/1XL5vhW3sbDhbH9Cz0tuDiY8C3ctxq1tqvaCgkFb8cCA/edit?usp=sharing"",""ขอนแก่น!I271"")"),60)</f>
        <v>60</v>
      </c>
      <c r="J376" s="189">
        <f ca="1">IFERROR(__xludf.DUMMYFUNCTION("IMPORTRANGE(""https://docs.google.com/spreadsheets/d/1XL5vhW3sbDhbH9Cz0tuDiY8C3ctxq1tqvaCgkFb8cCA/edit?usp=sharing"",""ขอนแก่น!J271"")"),0)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IFERROR(__xludf.DUMMYFUNCTION("IMPORTRANGE(""https://docs.google.com/spreadsheets/d/1XL5vhW3sbDhbH9Cz0tuDiY8C3ctxq1tqvaCgkFb8cCA/edit?usp=sharing"",""ขอนแก่น!I272"")"),35)</f>
        <v>35</v>
      </c>
      <c r="J377" s="204">
        <f ca="1">IFERROR(__xludf.DUMMYFUNCTION("IMPORTRANGE(""https://docs.google.com/spreadsheets/d/1XL5vhW3sbDhbH9Cz0tuDiY8C3ctxq1tqvaCgkFb8cCA/edit?usp=sharing"",""ขอนแก่น!J272"")"),0)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IFERROR(__xludf.DUMMYFUNCTION("IMPORTRANGE(""https://docs.google.com/spreadsheets/d/1XL5vhW3sbDhbH9Cz0tuDiY8C3ctxq1tqvaCgkFb8cCA/edit?usp=sharing"",""ขอนแก่น!J273"")"),0)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IFERROR(__xludf.DUMMYFUNCTION("IMPORTRANGE(""https://docs.google.com/spreadsheets/d/1XL5vhW3sbDhbH9Cz0tuDiY8C3ctxq1tqvaCgkFb8cCA/edit?usp=sharing"",""ขอนแก่น!J274"")"),0)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IFERROR(__xludf.DUMMYFUNCTION("IMPORTRANGE(""https://docs.google.com/spreadsheets/d/1XL5vhW3sbDhbH9Cz0tuDiY8C3ctxq1tqvaCgkFb8cCA/edit?usp=sharing"",""ขอนแก่น!I275"")"),1000)</f>
        <v>1000</v>
      </c>
      <c r="J380" s="371">
        <f ca="1">IFERROR(__xludf.DUMMYFUNCTION("IMPORTRANGE(""https://docs.google.com/spreadsheets/d/1XL5vhW3sbDhbH9Cz0tuDiY8C3ctxq1tqvaCgkFb8cCA/edit?usp=sharing"",""ขอนแก่น!J275"")"),0)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IFERROR(__xludf.DUMMYFUNCTION("IMPORTRANGE(""https://docs.google.com/spreadsheets/d/1XL5vhW3sbDhbH9Cz0tuDiY8C3ctxq1tqvaCgkFb8cCA/edit?usp=sharing"",""ขอนแก่น!L275"")"),1028520)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IFERROR(__xludf.DUMMYFUNCTION("IMPORTRANGE(""https://docs.google.com/spreadsheets/d/1XL5vhW3sbDhbH9Cz0tuDiY8C3ctxq1tqvaCgkFb8cCA/edit?usp=sharing"",""ขอนแก่น!M275"")"),172305.48)</f>
        <v>172305.48</v>
      </c>
      <c r="O380" s="373">
        <f ca="1">+IF(L380&gt;0,N380*100/L380,0)</f>
        <v>16.752759304631898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IFERROR(__xludf.DUMMYFUNCTION("IMPORTRANGE(""https://docs.google.com/spreadsheets/d/1XL5vhW3sbDhbH9Cz0tuDiY8C3ctxq1tqvaCgkFb8cCA/edit?usp=sharing"",""ขอนแก่น!I276"")"),100)</f>
        <v>100</v>
      </c>
      <c r="J381" s="371">
        <f ca="1">IFERROR(__xludf.DUMMYFUNCTION("IMPORTRANGE(""https://docs.google.com/spreadsheets/d/1XL5vhW3sbDhbH9Cz0tuDiY8C3ctxq1tqvaCgkFb8cCA/edit?usp=sharing"",""ขอนแก่น!J276"")"),100)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IFERROR(__xludf.DUMMYFUNCTION("IMPORTRANGE(""https://docs.google.com/spreadsheets/d/1XL5vhW3sbDhbH9Cz0tuDiY8C3ctxq1tqvaCgkFb8cCA/edit?usp=sharing"",""ขอนแก่น!L277"")"),0)</f>
        <v>0</v>
      </c>
      <c r="M382" s="164"/>
      <c r="N382" s="164">
        <f ca="1">IFERROR(__xludf.DUMMYFUNCTION("IMPORTRANGE(""https://docs.google.com/spreadsheets/d/1XL5vhW3sbDhbH9Cz0tuDiY8C3ctxq1tqvaCgkFb8cCA/edit?usp=sharing"",""ขอนแก่น!M277"")"),0)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IFERROR(__xludf.DUMMYFUNCTION("IMPORTRANGE(""https://docs.google.com/spreadsheets/d/1XL5vhW3sbDhbH9Cz0tuDiY8C3ctxq1tqvaCgkFb8cCA/edit?usp=sharing"",""ขอนแก่น!L278"")"),1028520)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IFERROR(__xludf.DUMMYFUNCTION("IMPORTRANGE(""https://docs.google.com/spreadsheets/d/1XL5vhW3sbDhbH9Cz0tuDiY8C3ctxq1tqvaCgkFb8cCA/edit?usp=sharing"",""ขอนแก่น!M278"")"),172305.48)</f>
        <v>172305.48</v>
      </c>
      <c r="O383" s="165">
        <f t="shared" ca="1" si="109"/>
        <v>16.752759304631898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IFERROR(__xludf.DUMMYFUNCTION("IMPORTRANGE(""https://docs.google.com/spreadsheets/d/1XL5vhW3sbDhbH9Cz0tuDiY8C3ctxq1tqvaCgkFb8cCA/edit?usp=sharing"",""ขอนแก่น!L279"")"),0)</f>
        <v>0</v>
      </c>
      <c r="M384" s="169"/>
      <c r="N384" s="169">
        <f ca="1">IFERROR(__xludf.DUMMYFUNCTION("IMPORTRANGE(""https://docs.google.com/spreadsheets/d/1XL5vhW3sbDhbH9Cz0tuDiY8C3ctxq1tqvaCgkFb8cCA/edit?usp=sharing"",""ขอนแก่น!M279"")"),0)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IFERROR(__xludf.DUMMYFUNCTION("IMPORTRANGE(""https://docs.google.com/spreadsheets/d/1XL5vhW3sbDhbH9Cz0tuDiY8C3ctxq1tqvaCgkFb8cCA/edit?usp=sharing"",""ขอนแก่น!L280"")"),1028520)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IFERROR(__xludf.DUMMYFUNCTION("IMPORTRANGE(""https://docs.google.com/spreadsheets/d/1XL5vhW3sbDhbH9Cz0tuDiY8C3ctxq1tqvaCgkFb8cCA/edit?usp=sharing"",""ขอนแก่น!M280"")"),172305.48)</f>
        <v>172305.48</v>
      </c>
      <c r="O385" s="169">
        <f t="shared" ca="1" si="109"/>
        <v>16.752759304631898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IFERROR(__xludf.DUMMYFUNCTION("IMPORTRANGE(""https://docs.google.com/spreadsheets/d/1XL5vhW3sbDhbH9Cz0tuDiY8C3ctxq1tqvaCgkFb8cCA/edit?usp=sharing"",""ขอนแก่น!M281"")"),73930)</f>
        <v>73930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IFERROR(__xludf.DUMMYFUNCTION("IMPORTRANGE(""https://docs.google.com/spreadsheets/d/1XL5vhW3sbDhbH9Cz0tuDiY8C3ctxq1tqvaCgkFb8cCA/edit?usp=sharing"",""ขอนแก่น!M282"")"),0)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IFERROR(__xludf.DUMMYFUNCTION("IMPORTRANGE(""https://docs.google.com/spreadsheets/d/1XL5vhW3sbDhbH9Cz0tuDiY8C3ctxq1tqvaCgkFb8cCA/edit?usp=sharing"",""ขอนแก่น!M283"")"),64935.48)</f>
        <v>64935.48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IFERROR(__xludf.DUMMYFUNCTION("IMPORTRANGE(""https://docs.google.com/spreadsheets/d/1XL5vhW3sbDhbH9Cz0tuDiY8C3ctxq1tqvaCgkFb8cCA/edit?usp=sharing"",""ขอนแก่น!M284"")"),33440)</f>
        <v>33440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IFERROR(__xludf.DUMMYFUNCTION("IMPORTRANGE(""https://docs.google.com/spreadsheets/d/1XL5vhW3sbDhbH9Cz0tuDiY8C3ctxq1tqvaCgkFb8cCA/edit?usp=sharing"",""ขอนแก่น!J286"")"),0)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IFERROR(__xludf.DUMMYFUNCTION("IMPORTRANGE(""https://docs.google.com/spreadsheets/d/1XL5vhW3sbDhbH9Cz0tuDiY8C3ctxq1tqvaCgkFb8cCA/edit?usp=sharing"",""ขอนแก่น!J287"")"),1)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IFERROR(__xludf.DUMMYFUNCTION("IMPORTRANGE(""https://docs.google.com/spreadsheets/d/1XL5vhW3sbDhbH9Cz0tuDiY8C3ctxq1tqvaCgkFb8cCA/edit?usp=sharing"",""ขอนแก่น!J288"")"),1)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IFERROR(__xludf.DUMMYFUNCTION("IMPORTRANGE(""https://docs.google.com/spreadsheets/d/1XL5vhW3sbDhbH9Cz0tuDiY8C3ctxq1tqvaCgkFb8cCA/edit?usp=sharing"",""ขอนแก่น!J289"")"),0)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IFERROR(__xludf.DUMMYFUNCTION("IMPORTRANGE(""https://docs.google.com/spreadsheets/d/1XL5vhW3sbDhbH9Cz0tuDiY8C3ctxq1tqvaCgkFb8cCA/edit?usp=sharing"",""ขอนแก่น!I291"")"),100)</f>
        <v>100</v>
      </c>
      <c r="J396" s="198">
        <f ca="1">IFERROR(__xludf.DUMMYFUNCTION("IMPORTRANGE(""https://docs.google.com/spreadsheets/d/1XL5vhW3sbDhbH9Cz0tuDiY8C3ctxq1tqvaCgkFb8cCA/edit?usp=sharing"",""ขอนแก่น!J291"")"),100)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IFERROR(__xludf.DUMMYFUNCTION("IMPORTRANGE(""https://docs.google.com/spreadsheets/d/1XL5vhW3sbDhbH9Cz0tuDiY8C3ctxq1tqvaCgkFb8cCA/edit?usp=sharing"",""ขอนแก่น!I292"")"),1000)</f>
        <v>1000</v>
      </c>
      <c r="J397" s="198">
        <f ca="1">IFERROR(__xludf.DUMMYFUNCTION("IMPORTRANGE(""https://docs.google.com/spreadsheets/d/1XL5vhW3sbDhbH9Cz0tuDiY8C3ctxq1tqvaCgkFb8cCA/edit?usp=sharing"",""ขอนแก่น!J292"")"),0)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IFERROR(__xludf.DUMMYFUNCTION("IMPORTRANGE(""https://docs.google.com/spreadsheets/d/1XL5vhW3sbDhbH9Cz0tuDiY8C3ctxq1tqvaCgkFb8cCA/edit?usp=sharing"",""ขอนแก่น!I293"")"),100)</f>
        <v>100</v>
      </c>
      <c r="J398" s="198">
        <f ca="1">IFERROR(__xludf.DUMMYFUNCTION("IMPORTRANGE(""https://docs.google.com/spreadsheets/d/1XL5vhW3sbDhbH9Cz0tuDiY8C3ctxq1tqvaCgkFb8cCA/edit?usp=sharing"",""ขอนแก่น!J293"")"),0)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IFERROR(__xludf.DUMMYFUNCTION("IMPORTRANGE(""https://docs.google.com/spreadsheets/d/1XL5vhW3sbDhbH9Cz0tuDiY8C3ctxq1tqvaCgkFb8cCA/edit?usp=sharing"",""ขอนแก่น!J294"")"),0)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IFERROR(__xludf.DUMMYFUNCTION("IMPORTRANGE(""https://docs.google.com/spreadsheets/d/1XL5vhW3sbDhbH9Cz0tuDiY8C3ctxq1tqvaCgkFb8cCA/edit?usp=sharing"",""ขอนแก่น!J295"")"),0)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IFERROR(__xludf.DUMMYFUNCTION("IMPORTRANGE(""https://docs.google.com/spreadsheets/d/1XL5vhW3sbDhbH9Cz0tuDiY8C3ctxq1tqvaCgkFb8cCA/edit?usp=sharing"",""ขอนแก่น!I296"")"),204)</f>
        <v>204</v>
      </c>
      <c r="J401" s="371">
        <f ca="1">IFERROR(__xludf.DUMMYFUNCTION("IMPORTRANGE(""https://docs.google.com/spreadsheets/d/1XL5vhW3sbDhbH9Cz0tuDiY8C3ctxq1tqvaCgkFb8cCA/edit?usp=sharing"",""ขอนแก่น!J296"")"),204)</f>
        <v>204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IFERROR(__xludf.DUMMYFUNCTION("IMPORTRANGE(""https://docs.google.com/spreadsheets/d/1XL5vhW3sbDhbH9Cz0tuDiY8C3ctxq1tqvaCgkFb8cCA/edit?usp=sharing"",""ขอนแก่น!L296"")"),229140)</f>
        <v>229140</v>
      </c>
      <c r="M401" s="373"/>
      <c r="N401" s="373">
        <f ca="1">IFERROR(__xludf.DUMMYFUNCTION("IMPORTRANGE(""https://docs.google.com/spreadsheets/d/1XL5vhW3sbDhbH9Cz0tuDiY8C3ctxq1tqvaCgkFb8cCA/edit?usp=sharing"",""ขอนแก่น!M296"")"),74490)</f>
        <v>74490</v>
      </c>
      <c r="O401" s="373">
        <f ca="1">+IF(L401&gt;0,N401*100/L401,0)</f>
        <v>32.508510081173085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IFERROR(__xludf.DUMMYFUNCTION("IMPORTRANGE(""https://docs.google.com/spreadsheets/d/1XL5vhW3sbDhbH9Cz0tuDiY8C3ctxq1tqvaCgkFb8cCA/edit?usp=sharing"",""ขอนแก่น!I297"")"),68)</f>
        <v>68</v>
      </c>
      <c r="J402" s="371">
        <f ca="1">IFERROR(__xludf.DUMMYFUNCTION("IMPORTRANGE(""https://docs.google.com/spreadsheets/d/1XL5vhW3sbDhbH9Cz0tuDiY8C3ctxq1tqvaCgkFb8cCA/edit?usp=sharing"",""ขอนแก่น!J297"")"),68)</f>
        <v>68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IFERROR(__xludf.DUMMYFUNCTION("IMPORTRANGE(""https://docs.google.com/spreadsheets/d/1XL5vhW3sbDhbH9Cz0tuDiY8C3ctxq1tqvaCgkFb8cCA/edit?usp=sharing"",""ขอนแก่น!L298"")"),0)</f>
        <v>0</v>
      </c>
      <c r="M403" s="164"/>
      <c r="N403" s="169">
        <f ca="1">IFERROR(__xludf.DUMMYFUNCTION("IMPORTRANGE(""https://docs.google.com/spreadsheets/d/1XL5vhW3sbDhbH9Cz0tuDiY8C3ctxq1tqvaCgkFb8cCA/edit?usp=sharing"",""ขอนแก่น!M298"")"),0)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IFERROR(__xludf.DUMMYFUNCTION("IMPORTRANGE(""https://docs.google.com/spreadsheets/d/1XL5vhW3sbDhbH9Cz0tuDiY8C3ctxq1tqvaCgkFb8cCA/edit?usp=sharing"",""ขอนแก่น!L299"")"),229140)</f>
        <v>229140</v>
      </c>
      <c r="M404" s="165"/>
      <c r="N404" s="169">
        <f ca="1">IFERROR(__xludf.DUMMYFUNCTION("IMPORTRANGE(""https://docs.google.com/spreadsheets/d/1XL5vhW3sbDhbH9Cz0tuDiY8C3ctxq1tqvaCgkFb8cCA/edit?usp=sharing"",""ขอนแก่น!M299"")"),74490)</f>
        <v>74490</v>
      </c>
      <c r="O404" s="169">
        <f t="shared" ca="1" si="112"/>
        <v>32.508510081173085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IFERROR(__xludf.DUMMYFUNCTION("IMPORTRANGE(""https://docs.google.com/spreadsheets/d/1XL5vhW3sbDhbH9Cz0tuDiY8C3ctxq1tqvaCgkFb8cCA/edit?usp=sharing"",""ขอนแก่น!L300"")"),0)</f>
        <v>0</v>
      </c>
      <c r="M405" s="169"/>
      <c r="N405" s="169">
        <f ca="1">IFERROR(__xludf.DUMMYFUNCTION("IMPORTRANGE(""https://docs.google.com/spreadsheets/d/1XL5vhW3sbDhbH9Cz0tuDiY8C3ctxq1tqvaCgkFb8cCA/edit?usp=sharing"",""ขอนแก่น!M300"")"),0)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IFERROR(__xludf.DUMMYFUNCTION("IMPORTRANGE(""https://docs.google.com/spreadsheets/d/1XL5vhW3sbDhbH9Cz0tuDiY8C3ctxq1tqvaCgkFb8cCA/edit?usp=sharing"",""ขอนแก่น!L301"")"),229140)</f>
        <v>229140</v>
      </c>
      <c r="M406" s="169"/>
      <c r="N406" s="169">
        <f ca="1">IFERROR(__xludf.DUMMYFUNCTION("IMPORTRANGE(""https://docs.google.com/spreadsheets/d/1XL5vhW3sbDhbH9Cz0tuDiY8C3ctxq1tqvaCgkFb8cCA/edit?usp=sharing"",""ขอนแก่น!M301"")"),74490)</f>
        <v>74490</v>
      </c>
      <c r="O406" s="169">
        <f t="shared" ca="1" si="112"/>
        <v>32.508510081173085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IFERROR(__xludf.DUMMYFUNCTION("IMPORTRANGE(""https://docs.google.com/spreadsheets/d/1XL5vhW3sbDhbH9Cz0tuDiY8C3ctxq1tqvaCgkFb8cCA/edit?usp=sharing"",""ขอนแก่น!M302"")"),44800)</f>
        <v>44800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IFERROR(__xludf.DUMMYFUNCTION("IMPORTRANGE(""https://docs.google.com/spreadsheets/d/1XL5vhW3sbDhbH9Cz0tuDiY8C3ctxq1tqvaCgkFb8cCA/edit?usp=sharing"",""ขอนแก่น!M303"")"),27250)</f>
        <v>27250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IFERROR(__xludf.DUMMYFUNCTION("IMPORTRANGE(""https://docs.google.com/spreadsheets/d/1XL5vhW3sbDhbH9Cz0tuDiY8C3ctxq1tqvaCgkFb8cCA/edit?usp=sharing"",""ขอนแก่น!M304"")"),0)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IFERROR(__xludf.DUMMYFUNCTION("IMPORTRANGE(""https://docs.google.com/spreadsheets/d/1XL5vhW3sbDhbH9Cz0tuDiY8C3ctxq1tqvaCgkFb8cCA/edit?usp=sharing"",""ขอนแก่น!M305"")"),2440)</f>
        <v>2440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IFERROR(__xludf.DUMMYFUNCTION("IMPORTRANGE(""https://docs.google.com/spreadsheets/d/1XL5vhW3sbDhbH9Cz0tuDiY8C3ctxq1tqvaCgkFb8cCA/edit?usp=sharing"",""ขอนแก่น!J307"")"),0)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IFERROR(__xludf.DUMMYFUNCTION("IMPORTRANGE(""https://docs.google.com/spreadsheets/d/1XL5vhW3sbDhbH9Cz0tuDiY8C3ctxq1tqvaCgkFb8cCA/edit?usp=sharing"",""ขอนแก่น!J308"")"),1)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IFERROR(__xludf.DUMMYFUNCTION("IMPORTRANGE(""https://docs.google.com/spreadsheets/d/1XL5vhW3sbDhbH9Cz0tuDiY8C3ctxq1tqvaCgkFb8cCA/edit?usp=sharing"",""ขอนแก่น!J309"")"),1)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IFERROR(__xludf.DUMMYFUNCTION("IMPORTRANGE(""https://docs.google.com/spreadsheets/d/1XL5vhW3sbDhbH9Cz0tuDiY8C3ctxq1tqvaCgkFb8cCA/edit?usp=sharing"",""ขอนแก่น!J310"")"),0)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IFERROR(__xludf.DUMMYFUNCTION("IMPORTRANGE(""https://docs.google.com/spreadsheets/d/1XL5vhW3sbDhbH9Cz0tuDiY8C3ctxq1tqvaCgkFb8cCA/edit?usp=sharing"",""ขอนแก่น!I311"")"),68)</f>
        <v>68</v>
      </c>
      <c r="J416" s="201">
        <f ca="1">IFERROR(__xludf.DUMMYFUNCTION("IMPORTRANGE(""https://docs.google.com/spreadsheets/d/1XL5vhW3sbDhbH9Cz0tuDiY8C3ctxq1tqvaCgkFb8cCA/edit?usp=sharing"",""ขอนแก่น!J311"")"),68)</f>
        <v>68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IFERROR(__xludf.DUMMYFUNCTION("IMPORTRANGE(""https://docs.google.com/spreadsheets/d/1XL5vhW3sbDhbH9Cz0tuDiY8C3ctxq1tqvaCgkFb8cCA/edit?usp=sharing"",""ขอนแก่น!I312"")"),20)</f>
        <v>20</v>
      </c>
      <c r="J417" s="392">
        <f ca="1">IFERROR(__xludf.DUMMYFUNCTION("IMPORTRANGE(""https://docs.google.com/spreadsheets/d/1XL5vhW3sbDhbH9Cz0tuDiY8C3ctxq1tqvaCgkFb8cCA/edit?usp=sharing"",""ขอนแก่น!J312"")"),20)</f>
        <v>20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IFERROR(__xludf.DUMMYFUNCTION("IMPORTRANGE(""https://docs.google.com/spreadsheets/d/1XL5vhW3sbDhbH9Cz0tuDiY8C3ctxq1tqvaCgkFb8cCA/edit?usp=sharing"",""ขอนแก่น!I313"")"),60)</f>
        <v>60</v>
      </c>
      <c r="J418" s="393">
        <f ca="1">IFERROR(__xludf.DUMMYFUNCTION("IMPORTRANGE(""https://docs.google.com/spreadsheets/d/1XL5vhW3sbDhbH9Cz0tuDiY8C3ctxq1tqvaCgkFb8cCA/edit?usp=sharing"",""ขอนแก่น!J313"")"),60)</f>
        <v>60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IFERROR(__xludf.DUMMYFUNCTION("IMPORTRANGE(""https://docs.google.com/spreadsheets/d/1XL5vhW3sbDhbH9Cz0tuDiY8C3ctxq1tqvaCgkFb8cCA/edit?usp=sharing"",""ขอนแก่น!I314"")"),20)</f>
        <v>20</v>
      </c>
      <c r="J419" s="394">
        <f ca="1">IFERROR(__xludf.DUMMYFUNCTION("IMPORTRANGE(""https://docs.google.com/spreadsheets/d/1XL5vhW3sbDhbH9Cz0tuDiY8C3ctxq1tqvaCgkFb8cCA/edit?usp=sharing"",""ขอนแก่น!J314"")"),20)</f>
        <v>20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IFERROR(__xludf.DUMMYFUNCTION("IMPORTRANGE(""https://docs.google.com/spreadsheets/d/1XL5vhW3sbDhbH9Cz0tuDiY8C3ctxq1tqvaCgkFb8cCA/edit?usp=sharing"",""ขอนแก่น!I315"")"),20)</f>
        <v>20</v>
      </c>
      <c r="J420" s="394">
        <f ca="1">IFERROR(__xludf.DUMMYFUNCTION("IMPORTRANGE(""https://docs.google.com/spreadsheets/d/1XL5vhW3sbDhbH9Cz0tuDiY8C3ctxq1tqvaCgkFb8cCA/edit?usp=sharing"",""ขอนแก่น!J315"")"),20)</f>
        <v>20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IFERROR(__xludf.DUMMYFUNCTION("IMPORTRANGE(""https://docs.google.com/spreadsheets/d/1XL5vhW3sbDhbH9Cz0tuDiY8C3ctxq1tqvaCgkFb8cCA/edit?usp=sharing"",""ขอนแก่น!I316"")"),38)</f>
        <v>38</v>
      </c>
      <c r="J421" s="392">
        <f ca="1">IFERROR(__xludf.DUMMYFUNCTION("IMPORTRANGE(""https://docs.google.com/spreadsheets/d/1XL5vhW3sbDhbH9Cz0tuDiY8C3ctxq1tqvaCgkFb8cCA/edit?usp=sharing"",""ขอนแก่น!J316"")"),38)</f>
        <v>38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IFERROR(__xludf.DUMMYFUNCTION("IMPORTRANGE(""https://docs.google.com/spreadsheets/d/1XL5vhW3sbDhbH9Cz0tuDiY8C3ctxq1tqvaCgkFb8cCA/edit?usp=sharing"",""ขอนแก่น!I317"")"),114)</f>
        <v>114</v>
      </c>
      <c r="J422" s="393">
        <f ca="1">IFERROR(__xludf.DUMMYFUNCTION("IMPORTRANGE(""https://docs.google.com/spreadsheets/d/1XL5vhW3sbDhbH9Cz0tuDiY8C3ctxq1tqvaCgkFb8cCA/edit?usp=sharing"",""ขอนแก่น!J317"")"),114)</f>
        <v>114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IFERROR(__xludf.DUMMYFUNCTION("IMPORTRANGE(""https://docs.google.com/spreadsheets/d/1XL5vhW3sbDhbH9Cz0tuDiY8C3ctxq1tqvaCgkFb8cCA/edit?usp=sharing"",""ขอนแก่น!I318"")"),38)</f>
        <v>38</v>
      </c>
      <c r="J423" s="394">
        <f ca="1">IFERROR(__xludf.DUMMYFUNCTION("IMPORTRANGE(""https://docs.google.com/spreadsheets/d/1XL5vhW3sbDhbH9Cz0tuDiY8C3ctxq1tqvaCgkFb8cCA/edit?usp=sharing"",""ขอนแก่น!J318"")"),38)</f>
        <v>38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IFERROR(__xludf.DUMMYFUNCTION("IMPORTRANGE(""https://docs.google.com/spreadsheets/d/1XL5vhW3sbDhbH9Cz0tuDiY8C3ctxq1tqvaCgkFb8cCA/edit?usp=sharing"",""ขอนแก่น!I319"")"),38)</f>
        <v>38</v>
      </c>
      <c r="J424" s="394">
        <f ca="1">IFERROR(__xludf.DUMMYFUNCTION("IMPORTRANGE(""https://docs.google.com/spreadsheets/d/1XL5vhW3sbDhbH9Cz0tuDiY8C3ctxq1tqvaCgkFb8cCA/edit?usp=sharing"",""ขอนแก่น!J319"")"),38)</f>
        <v>38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IFERROR(__xludf.DUMMYFUNCTION("IMPORTRANGE(""https://docs.google.com/spreadsheets/d/1XL5vhW3sbDhbH9Cz0tuDiY8C3ctxq1tqvaCgkFb8cCA/edit?usp=sharing"",""ขอนแก่น!I320"")"),38)</f>
        <v>38</v>
      </c>
      <c r="J425" s="394">
        <f ca="1">IFERROR(__xludf.DUMMYFUNCTION("IMPORTRANGE(""https://docs.google.com/spreadsheets/d/1XL5vhW3sbDhbH9Cz0tuDiY8C3ctxq1tqvaCgkFb8cCA/edit?usp=sharing"",""ขอนแก่น!J320"")"),38)</f>
        <v>38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IFERROR(__xludf.DUMMYFUNCTION("IMPORTRANGE(""https://docs.google.com/spreadsheets/d/1XL5vhW3sbDhbH9Cz0tuDiY8C3ctxq1tqvaCgkFb8cCA/edit?usp=sharing"",""ขอนแก่น!I321"")"),10)</f>
        <v>10</v>
      </c>
      <c r="J426" s="392">
        <f ca="1">IFERROR(__xludf.DUMMYFUNCTION("IMPORTRANGE(""https://docs.google.com/spreadsheets/d/1XL5vhW3sbDhbH9Cz0tuDiY8C3ctxq1tqvaCgkFb8cCA/edit?usp=sharing"",""ขอนแก่น!J321"")"),10)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IFERROR(__xludf.DUMMYFUNCTION("IMPORTRANGE(""https://docs.google.com/spreadsheets/d/1XL5vhW3sbDhbH9Cz0tuDiY8C3ctxq1tqvaCgkFb8cCA/edit?usp=sharing"",""ขอนแก่น!I322"")"),30)</f>
        <v>30</v>
      </c>
      <c r="J427" s="393">
        <f ca="1">IFERROR(__xludf.DUMMYFUNCTION("IMPORTRANGE(""https://docs.google.com/spreadsheets/d/1XL5vhW3sbDhbH9Cz0tuDiY8C3ctxq1tqvaCgkFb8cCA/edit?usp=sharing"",""ขอนแก่น!J322"")"),30)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IFERROR(__xludf.DUMMYFUNCTION("IMPORTRANGE(""https://docs.google.com/spreadsheets/d/1XL5vhW3sbDhbH9Cz0tuDiY8C3ctxq1tqvaCgkFb8cCA/edit?usp=sharing"",""ขอนแก่น!I323"")"),10)</f>
        <v>10</v>
      </c>
      <c r="J428" s="394">
        <f ca="1">IFERROR(__xludf.DUMMYFUNCTION("IMPORTRANGE(""https://docs.google.com/spreadsheets/d/1XL5vhW3sbDhbH9Cz0tuDiY8C3ctxq1tqvaCgkFb8cCA/edit?usp=sharing"",""ขอนแก่น!J323"")"),10)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IFERROR(__xludf.DUMMYFUNCTION("IMPORTRANGE(""https://docs.google.com/spreadsheets/d/1XL5vhW3sbDhbH9Cz0tuDiY8C3ctxq1tqvaCgkFb8cCA/edit?usp=sharing"",""ขอนแก่น!I324"")"),10)</f>
        <v>10</v>
      </c>
      <c r="J429" s="394">
        <f ca="1">IFERROR(__xludf.DUMMYFUNCTION("IMPORTRANGE(""https://docs.google.com/spreadsheets/d/1XL5vhW3sbDhbH9Cz0tuDiY8C3ctxq1tqvaCgkFb8cCA/edit?usp=sharing"",""ขอนแก่น!J324"")"),10)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IFERROR(__xludf.DUMMYFUNCTION("IMPORTRANGE(""https://docs.google.com/spreadsheets/d/1XL5vhW3sbDhbH9Cz0tuDiY8C3ctxq1tqvaCgkFb8cCA/edit?usp=sharing"",""ขอนแก่น!I325"")"),58)</f>
        <v>58</v>
      </c>
      <c r="J430" s="392">
        <f ca="1">IFERROR(__xludf.DUMMYFUNCTION("IMPORTRANGE(""https://docs.google.com/spreadsheets/d/1XL5vhW3sbDhbH9Cz0tuDiY8C3ctxq1tqvaCgkFb8cCA/edit?usp=sharing"",""ขอนแก่น!J325"")"),0)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IFERROR(__xludf.DUMMYFUNCTION("IMPORTRANGE(""https://docs.google.com/spreadsheets/d/1XL5vhW3sbDhbH9Cz0tuDiY8C3ctxq1tqvaCgkFb8cCA/edit?usp=sharing"",""ขอนแก่น!I326"")"),20)</f>
        <v>20</v>
      </c>
      <c r="J431" s="394">
        <f ca="1">IFERROR(__xludf.DUMMYFUNCTION("IMPORTRANGE(""https://docs.google.com/spreadsheets/d/1XL5vhW3sbDhbH9Cz0tuDiY8C3ctxq1tqvaCgkFb8cCA/edit?usp=sharing"",""ขอนแก่น!J326"")"),0)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IFERROR(__xludf.DUMMYFUNCTION("IMPORTRANGE(""https://docs.google.com/spreadsheets/d/1XL5vhW3sbDhbH9Cz0tuDiY8C3ctxq1tqvaCgkFb8cCA/edit?usp=sharing"",""ขอนแก่น!I327"")"),38)</f>
        <v>38</v>
      </c>
      <c r="J432" s="394">
        <f ca="1">IFERROR(__xludf.DUMMYFUNCTION("IMPORTRANGE(""https://docs.google.com/spreadsheets/d/1XL5vhW3sbDhbH9Cz0tuDiY8C3ctxq1tqvaCgkFb8cCA/edit?usp=sharing"",""ขอนแก่น!J327"")"),0)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IFERROR(__xludf.DUMMYFUNCTION("IMPORTRANGE(""https://docs.google.com/spreadsheets/d/1XL5vhW3sbDhbH9Cz0tuDiY8C3ctxq1tqvaCgkFb8cCA/edit?usp=sharing"",""ขอนแก่น!J328"")"),0)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IFERROR(__xludf.DUMMYFUNCTION("IMPORTRANGE(""https://docs.google.com/spreadsheets/d/1XL5vhW3sbDhbH9Cz0tuDiY8C3ctxq1tqvaCgkFb8cCA/edit?usp=sharing"",""ขอนแก่น!J329"")"),0)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IFERROR(__xludf.DUMMYFUNCTION("IMPORTRANGE(""https://docs.google.com/spreadsheets/d/1XL5vhW3sbDhbH9Cz0tuDiY8C3ctxq1tqvaCgkFb8cCA/edit?usp=sharing"",""ขอนแก่น!I330"")"),40)</f>
        <v>40</v>
      </c>
      <c r="J435" s="410">
        <f ca="1">IFERROR(__xludf.DUMMYFUNCTION("IMPORTRANGE(""https://docs.google.com/spreadsheets/d/1XL5vhW3sbDhbH9Cz0tuDiY8C3ctxq1tqvaCgkFb8cCA/edit?usp=sharing"",""ขอนแก่น!J330"")"),40)</f>
        <v>40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IFERROR(__xludf.DUMMYFUNCTION("IMPORTRANGE(""https://docs.google.com/spreadsheets/d/1XL5vhW3sbDhbH9Cz0tuDiY8C3ctxq1tqvaCgkFb8cCA/edit?usp=sharing"",""ขอนแก่น!L330"")"),144000)</f>
        <v>144000</v>
      </c>
      <c r="M435" s="412"/>
      <c r="N435" s="412">
        <f ca="1">IFERROR(__xludf.DUMMYFUNCTION("IMPORTRANGE(""https://docs.google.com/spreadsheets/d/1XL5vhW3sbDhbH9Cz0tuDiY8C3ctxq1tqvaCgkFb8cCA/edit?usp=sharing"",""ขอนแก่น!M330"")"),73397.68)</f>
        <v>73397.679999999993</v>
      </c>
      <c r="O435" s="412">
        <f t="shared" ref="O435:O439" ca="1" si="114">+IF(L435&gt;0,N435*100/L435,0)</f>
        <v>50.970611111111104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IFERROR(__xludf.DUMMYFUNCTION("IMPORTRANGE(""https://docs.google.com/spreadsheets/d/1XL5vhW3sbDhbH9Cz0tuDiY8C3ctxq1tqvaCgkFb8cCA/edit?usp=sharing"",""ขอนแก่น!L331"")"),0)</f>
        <v>0</v>
      </c>
      <c r="M436" s="164"/>
      <c r="N436" s="169">
        <f ca="1">IFERROR(__xludf.DUMMYFUNCTION("IMPORTRANGE(""https://docs.google.com/spreadsheets/d/1XL5vhW3sbDhbH9Cz0tuDiY8C3ctxq1tqvaCgkFb8cCA/edit?usp=sharing"",""ขอนแก่น!M331"")"),0)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IFERROR(__xludf.DUMMYFUNCTION("IMPORTRANGE(""https://docs.google.com/spreadsheets/d/1XL5vhW3sbDhbH9Cz0tuDiY8C3ctxq1tqvaCgkFb8cCA/edit?usp=sharing"",""ขอนแก่น!L332"")"),144000)</f>
        <v>144000</v>
      </c>
      <c r="M437" s="165"/>
      <c r="N437" s="169">
        <f ca="1">IFERROR(__xludf.DUMMYFUNCTION("IMPORTRANGE(""https://docs.google.com/spreadsheets/d/1XL5vhW3sbDhbH9Cz0tuDiY8C3ctxq1tqvaCgkFb8cCA/edit?usp=sharing"",""ขอนแก่น!M332"")"),73397.68)</f>
        <v>73397.679999999993</v>
      </c>
      <c r="O437" s="169">
        <f t="shared" ca="1" si="114"/>
        <v>50.970611111111104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IFERROR(__xludf.DUMMYFUNCTION("IMPORTRANGE(""https://docs.google.com/spreadsheets/d/1XL5vhW3sbDhbH9Cz0tuDiY8C3ctxq1tqvaCgkFb8cCA/edit?usp=sharing"",""ขอนแก่น!L333"")"),0)</f>
        <v>0</v>
      </c>
      <c r="M438" s="169"/>
      <c r="N438" s="169">
        <f ca="1">IFERROR(__xludf.DUMMYFUNCTION("IMPORTRANGE(""https://docs.google.com/spreadsheets/d/1XL5vhW3sbDhbH9Cz0tuDiY8C3ctxq1tqvaCgkFb8cCA/edit?usp=sharing"",""ขอนแก่น!M333"")"),0)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IFERROR(__xludf.DUMMYFUNCTION("IMPORTRANGE(""https://docs.google.com/spreadsheets/d/1XL5vhW3sbDhbH9Cz0tuDiY8C3ctxq1tqvaCgkFb8cCA/edit?usp=sharing"",""ขอนแก่น!L334"")"),144000)</f>
        <v>144000</v>
      </c>
      <c r="M439" s="169"/>
      <c r="N439" s="169">
        <f ca="1">IFERROR(__xludf.DUMMYFUNCTION("IMPORTRANGE(""https://docs.google.com/spreadsheets/d/1XL5vhW3sbDhbH9Cz0tuDiY8C3ctxq1tqvaCgkFb8cCA/edit?usp=sharing"",""ขอนแก่น!M334"")"),73397.68)</f>
        <v>73397.679999999993</v>
      </c>
      <c r="O439" s="169">
        <f t="shared" ca="1" si="114"/>
        <v>50.970611111111104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IFERROR(__xludf.DUMMYFUNCTION("IMPORTRANGE(""https://docs.google.com/spreadsheets/d/1XL5vhW3sbDhbH9Cz0tuDiY8C3ctxq1tqvaCgkFb8cCA/edit?usp=sharing"",""ขอนแก่น!M335"")"),61664)</f>
        <v>61664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IFERROR(__xludf.DUMMYFUNCTION("IMPORTRANGE(""https://docs.google.com/spreadsheets/d/1XL5vhW3sbDhbH9Cz0tuDiY8C3ctxq1tqvaCgkFb8cCA/edit?usp=sharing"",""ขอนแก่น!M336"")"),0)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IFERROR(__xludf.DUMMYFUNCTION("IMPORTRANGE(""https://docs.google.com/spreadsheets/d/1XL5vhW3sbDhbH9Cz0tuDiY8C3ctxq1tqvaCgkFb8cCA/edit?usp=sharing"",""ขอนแก่น!M337"")"),0)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IFERROR(__xludf.DUMMYFUNCTION("IMPORTRANGE(""https://docs.google.com/spreadsheets/d/1XL5vhW3sbDhbH9Cz0tuDiY8C3ctxq1tqvaCgkFb8cCA/edit?usp=sharing"",""ขอนแก่น!M338"")"),11733.68)</f>
        <v>11733.68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IFERROR(__xludf.DUMMYFUNCTION("IMPORTRANGE(""https://docs.google.com/spreadsheets/d/1XL5vhW3sbDhbH9Cz0tuDiY8C3ctxq1tqvaCgkFb8cCA/edit?usp=sharing"",""ขอนแก่น!J340"")"),0)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IFERROR(__xludf.DUMMYFUNCTION("IMPORTRANGE(""https://docs.google.com/spreadsheets/d/1XL5vhW3sbDhbH9Cz0tuDiY8C3ctxq1tqvaCgkFb8cCA/edit?usp=sharing"",""ขอนแก่น!J341"")"),1)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IFERROR(__xludf.DUMMYFUNCTION("IMPORTRANGE(""https://docs.google.com/spreadsheets/d/1XL5vhW3sbDhbH9Cz0tuDiY8C3ctxq1tqvaCgkFb8cCA/edit?usp=sharing"",""ขอนแก่น!J342"")"),1)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IFERROR(__xludf.DUMMYFUNCTION("IMPORTRANGE(""https://docs.google.com/spreadsheets/d/1XL5vhW3sbDhbH9Cz0tuDiY8C3ctxq1tqvaCgkFb8cCA/edit?usp=sharing"",""ขอนแก่น!J343"")"),0)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IFERROR(__xludf.DUMMYFUNCTION("IMPORTRANGE(""https://docs.google.com/spreadsheets/d/1XL5vhW3sbDhbH9Cz0tuDiY8C3ctxq1tqvaCgkFb8cCA/edit?usp=sharing"",""ขอนแก่น!I344"")"),40)</f>
        <v>40</v>
      </c>
      <c r="J449" s="201">
        <f ca="1">IFERROR(__xludf.DUMMYFUNCTION("IMPORTRANGE(""https://docs.google.com/spreadsheets/d/1XL5vhW3sbDhbH9Cz0tuDiY8C3ctxq1tqvaCgkFb8cCA/edit?usp=sharing"",""ขอนแก่น!J344"")"),40)</f>
        <v>40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IFERROR(__xludf.DUMMYFUNCTION("IMPORTRANGE(""https://docs.google.com/spreadsheets/d/1XL5vhW3sbDhbH9Cz0tuDiY8C3ctxq1tqvaCgkFb8cCA/edit?usp=sharing"",""ขอนแก่น!I345"")"),40)</f>
        <v>40</v>
      </c>
      <c r="J450" s="189">
        <f ca="1">IFERROR(__xludf.DUMMYFUNCTION("IMPORTRANGE(""https://docs.google.com/spreadsheets/d/1XL5vhW3sbDhbH9Cz0tuDiY8C3ctxq1tqvaCgkFb8cCA/edit?usp=sharing"",""ขอนแก่น!J345"")"),40)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IFERROR(__xludf.DUMMYFUNCTION("IMPORTRANGE(""https://docs.google.com/spreadsheets/d/1XL5vhW3sbDhbH9Cz0tuDiY8C3ctxq1tqvaCgkFb8cCA/edit?usp=sharing"",""ขอนแก่น!I346"")"),0)</f>
        <v>0</v>
      </c>
      <c r="J451" s="188">
        <f ca="1">IFERROR(__xludf.DUMMYFUNCTION("IMPORTRANGE(""https://docs.google.com/spreadsheets/d/1XL5vhW3sbDhbH9Cz0tuDiY8C3ctxq1tqvaCgkFb8cCA/edit?usp=sharing"",""ขอนแก่น!J346"")"),0)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IFERROR(__xludf.DUMMYFUNCTION("IMPORTRANGE(""https://docs.google.com/spreadsheets/d/1XL5vhW3sbDhbH9Cz0tuDiY8C3ctxq1tqvaCgkFb8cCA/edit?usp=sharing"",""ขอนแก่น!I347"")"),0)</f>
        <v>0</v>
      </c>
      <c r="J452" s="188">
        <f ca="1">IFERROR(__xludf.DUMMYFUNCTION("IMPORTRANGE(""https://docs.google.com/spreadsheets/d/1XL5vhW3sbDhbH9Cz0tuDiY8C3ctxq1tqvaCgkFb8cCA/edit?usp=sharing"",""ขอนแก่น!J347"")"),0)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IFERROR(__xludf.DUMMYFUNCTION("IMPORTRANGE(""https://docs.google.com/spreadsheets/d/1XL5vhW3sbDhbH9Cz0tuDiY8C3ctxq1tqvaCgkFb8cCA/edit?usp=sharing"",""ขอนแก่น!J348"")"),0)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IFERROR(__xludf.DUMMYFUNCTION("IMPORTRANGE(""https://docs.google.com/spreadsheets/d/1XL5vhW3sbDhbH9Cz0tuDiY8C3ctxq1tqvaCgkFb8cCA/edit?usp=sharing"",""ขอนแก่น!J349"")"),0)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IFERROR(__xludf.DUMMYFUNCTION("IMPORTRANGE(""https://docs.google.com/spreadsheets/d/1XL5vhW3sbDhbH9Cz0tuDiY8C3ctxq1tqvaCgkFb8cCA/edit?usp=sharing"",""ขอนแก่น!I350"")"),62293)</f>
        <v>62293</v>
      </c>
      <c r="J455" s="371">
        <f ca="1">IFERROR(__xludf.DUMMYFUNCTION("IMPORTRANGE(""https://docs.google.com/spreadsheets/d/1XL5vhW3sbDhbH9Cz0tuDiY8C3ctxq1tqvaCgkFb8cCA/edit?usp=sharing"",""ขอนแก่น!J350"")"),56622)</f>
        <v>56622</v>
      </c>
      <c r="K455" s="372">
        <f ca="1">IF(I455&gt;0,J455*100/I455,0)</f>
        <v>90.896248374616732</v>
      </c>
      <c r="L455" s="373">
        <f ca="1">IFERROR(__xludf.DUMMYFUNCTION("IMPORTRANGE(""https://docs.google.com/spreadsheets/d/1XL5vhW3sbDhbH9Cz0tuDiY8C3ctxq1tqvaCgkFb8cCA/edit?usp=sharing"",""ขอนแก่น!L350"")"),597051)</f>
        <v>597051</v>
      </c>
      <c r="M455" s="373"/>
      <c r="N455" s="373">
        <f ca="1">IFERROR(__xludf.DUMMYFUNCTION("IMPORTRANGE(""https://docs.google.com/spreadsheets/d/1XL5vhW3sbDhbH9Cz0tuDiY8C3ctxq1tqvaCgkFb8cCA/edit?usp=sharing"",""ขอนแก่น!M350"")"),215575)</f>
        <v>215575</v>
      </c>
      <c r="O455" s="373">
        <f t="shared" ref="O455:O459" ca="1" si="116">+IF(L455&gt;0,N455*100/L455,0)</f>
        <v>36.106630756836516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IFERROR(__xludf.DUMMYFUNCTION("IMPORTRANGE(""https://docs.google.com/spreadsheets/d/1XL5vhW3sbDhbH9Cz0tuDiY8C3ctxq1tqvaCgkFb8cCA/edit?usp=sharing"",""ขอนแก่น!L351"")"),0)</f>
        <v>0</v>
      </c>
      <c r="M456" s="164"/>
      <c r="N456" s="169">
        <f ca="1">IFERROR(__xludf.DUMMYFUNCTION("IMPORTRANGE(""https://docs.google.com/spreadsheets/d/1XL5vhW3sbDhbH9Cz0tuDiY8C3ctxq1tqvaCgkFb8cCA/edit?usp=sharing"",""ขอนแก่น!M351"")"),0)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IFERROR(__xludf.DUMMYFUNCTION("IMPORTRANGE(""https://docs.google.com/spreadsheets/d/1XL5vhW3sbDhbH9Cz0tuDiY8C3ctxq1tqvaCgkFb8cCA/edit?usp=sharing"",""ขอนแก่น!L352"")"),597051)</f>
        <v>597051</v>
      </c>
      <c r="M457" s="165"/>
      <c r="N457" s="169">
        <f ca="1">IFERROR(__xludf.DUMMYFUNCTION("IMPORTRANGE(""https://docs.google.com/spreadsheets/d/1XL5vhW3sbDhbH9Cz0tuDiY8C3ctxq1tqvaCgkFb8cCA/edit?usp=sharing"",""ขอนแก่น!M352"")"),215575)</f>
        <v>215575</v>
      </c>
      <c r="O457" s="169">
        <f t="shared" ca="1" si="116"/>
        <v>36.106630756836516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IFERROR(__xludf.DUMMYFUNCTION("IMPORTRANGE(""https://docs.google.com/spreadsheets/d/1XL5vhW3sbDhbH9Cz0tuDiY8C3ctxq1tqvaCgkFb8cCA/edit?usp=sharing"",""ขอนแก่น!L353"")"),0)</f>
        <v>0</v>
      </c>
      <c r="M458" s="169"/>
      <c r="N458" s="169">
        <f ca="1">IFERROR(__xludf.DUMMYFUNCTION("IMPORTRANGE(""https://docs.google.com/spreadsheets/d/1XL5vhW3sbDhbH9Cz0tuDiY8C3ctxq1tqvaCgkFb8cCA/edit?usp=sharing"",""ขอนแก่น!M353"")"),0)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IFERROR(__xludf.DUMMYFUNCTION("IMPORTRANGE(""https://docs.google.com/spreadsheets/d/1XL5vhW3sbDhbH9Cz0tuDiY8C3ctxq1tqvaCgkFb8cCA/edit?usp=sharing"",""ขอนแก่น!L354"")"),597051)</f>
        <v>597051</v>
      </c>
      <c r="M459" s="169"/>
      <c r="N459" s="169">
        <f ca="1">IFERROR(__xludf.DUMMYFUNCTION("IMPORTRANGE(""https://docs.google.com/spreadsheets/d/1XL5vhW3sbDhbH9Cz0tuDiY8C3ctxq1tqvaCgkFb8cCA/edit?usp=sharing"",""ขอนแก่น!M354"")"),215575)</f>
        <v>215575</v>
      </c>
      <c r="O459" s="169">
        <f t="shared" ca="1" si="116"/>
        <v>36.106630756836516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IFERROR(__xludf.DUMMYFUNCTION("IMPORTRANGE(""https://docs.google.com/spreadsheets/d/1XL5vhW3sbDhbH9Cz0tuDiY8C3ctxq1tqvaCgkFb8cCA/edit?usp=sharing"",""ขอนแก่น!M355"")"),0)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IFERROR(__xludf.DUMMYFUNCTION("IMPORTRANGE(""https://docs.google.com/spreadsheets/d/1XL5vhW3sbDhbH9Cz0tuDiY8C3ctxq1tqvaCgkFb8cCA/edit?usp=sharing"",""ขอนแก่น!M356"")"),0)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IFERROR(__xludf.DUMMYFUNCTION("IMPORTRANGE(""https://docs.google.com/spreadsheets/d/1XL5vhW3sbDhbH9Cz0tuDiY8C3ctxq1tqvaCgkFb8cCA/edit?usp=sharing"",""ขอนแก่น!M357"")"),55000)</f>
        <v>55000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IFERROR(__xludf.DUMMYFUNCTION("IMPORTRANGE(""https://docs.google.com/spreadsheets/d/1XL5vhW3sbDhbH9Cz0tuDiY8C3ctxq1tqvaCgkFb8cCA/edit?usp=sharing"",""ขอนแก่น!M358"")"),160575)</f>
        <v>160575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IFERROR(__xludf.DUMMYFUNCTION("IMPORTRANGE(""https://docs.google.com/spreadsheets/d/1XL5vhW3sbDhbH9Cz0tuDiY8C3ctxq1tqvaCgkFb8cCA/edit?usp=sharing"",""ขอนแก่น!I359"")"),62293)</f>
        <v>62293</v>
      </c>
      <c r="J464" s="267">
        <f ca="1">IFERROR(__xludf.DUMMYFUNCTION("IMPORTRANGE(""https://docs.google.com/spreadsheets/d/1XL5vhW3sbDhbH9Cz0tuDiY8C3ctxq1tqvaCgkFb8cCA/edit?usp=sharing"",""ขอนแก่น!J359"")"),56622)</f>
        <v>56622</v>
      </c>
      <c r="K464" s="268">
        <f t="shared" ref="K464:K515" ca="1" si="117">IF(I464&gt;0,J464*100/I464,0)</f>
        <v>90.896248374616732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IFERROR(__xludf.DUMMYFUNCTION("IMPORTRANGE(""https://docs.google.com/spreadsheets/d/1XL5vhW3sbDhbH9Cz0tuDiY8C3ctxq1tqvaCgkFb8cCA/edit?usp=sharing"",""ขอนแก่น!I360"")"),62293)</f>
        <v>62293</v>
      </c>
      <c r="J465" s="420">
        <f ca="1">IFERROR(__xludf.DUMMYFUNCTION("IMPORTRANGE(""https://docs.google.com/spreadsheets/d/1XL5vhW3sbDhbH9Cz0tuDiY8C3ctxq1tqvaCgkFb8cCA/edit?usp=sharing"",""ขอนแก่น!J360"")"),62293.11)</f>
        <v>62293.11</v>
      </c>
      <c r="K465" s="202">
        <f t="shared" ca="1" si="117"/>
        <v>100.00017658484902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IFERROR(__xludf.DUMMYFUNCTION("IMPORTRANGE(""https://docs.google.com/spreadsheets/d/1XL5vhW3sbDhbH9Cz0tuDiY8C3ctxq1tqvaCgkFb8cCA/edit?usp=sharing"",""ขอนแก่น!I361"")"),6562)</f>
        <v>6562</v>
      </c>
      <c r="J466" s="420">
        <f ca="1">IFERROR(__xludf.DUMMYFUNCTION("IMPORTRANGE(""https://docs.google.com/spreadsheets/d/1XL5vhW3sbDhbH9Cz0tuDiY8C3ctxq1tqvaCgkFb8cCA/edit?usp=sharing"",""ขอนแก่น!J361"")"),6562)</f>
        <v>6562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IFERROR(__xludf.DUMMYFUNCTION("IMPORTRANGE(""https://docs.google.com/spreadsheets/d/1XL5vhW3sbDhbH9Cz0tuDiY8C3ctxq1tqvaCgkFb8cCA/edit?usp=sharing"",""ขอนแก่น!I362"")"),0)</f>
        <v>0</v>
      </c>
      <c r="J467" s="189">
        <f ca="1">IFERROR(__xludf.DUMMYFUNCTION("IMPORTRANGE(""https://docs.google.com/spreadsheets/d/1XL5vhW3sbDhbH9Cz0tuDiY8C3ctxq1tqvaCgkFb8cCA/edit?usp=sharing"",""ขอนแก่น!J362"")"),53578)</f>
        <v>53578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IFERROR(__xludf.DUMMYFUNCTION("IMPORTRANGE(""https://docs.google.com/spreadsheets/d/1XL5vhW3sbDhbH9Cz0tuDiY8C3ctxq1tqvaCgkFb8cCA/edit?usp=sharing"",""ขอนแก่น!I363"")"),0)</f>
        <v>0</v>
      </c>
      <c r="J468" s="189">
        <f ca="1">IFERROR(__xludf.DUMMYFUNCTION("IMPORTRANGE(""https://docs.google.com/spreadsheets/d/1XL5vhW3sbDhbH9Cz0tuDiY8C3ctxq1tqvaCgkFb8cCA/edit?usp=sharing"",""ขอนแก่น!J363"")"),5708)</f>
        <v>5708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IFERROR(__xludf.DUMMYFUNCTION("IMPORTRANGE(""https://docs.google.com/spreadsheets/d/1XL5vhW3sbDhbH9Cz0tuDiY8C3ctxq1tqvaCgkFb8cCA/edit?usp=sharing"",""ขอนแก่น!I364"")"),0)</f>
        <v>0</v>
      </c>
      <c r="J469" s="189">
        <f ca="1">IFERROR(__xludf.DUMMYFUNCTION("IMPORTRANGE(""https://docs.google.com/spreadsheets/d/1XL5vhW3sbDhbH9Cz0tuDiY8C3ctxq1tqvaCgkFb8cCA/edit?usp=sharing"",""ขอนแก่น!J364"")"),5889.11)</f>
        <v>5889.11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IFERROR(__xludf.DUMMYFUNCTION("IMPORTRANGE(""https://docs.google.com/spreadsheets/d/1XL5vhW3sbDhbH9Cz0tuDiY8C3ctxq1tqvaCgkFb8cCA/edit?usp=sharing"",""ขอนแก่น!I365"")"),0)</f>
        <v>0</v>
      </c>
      <c r="J470" s="189">
        <f ca="1">IFERROR(__xludf.DUMMYFUNCTION("IMPORTRANGE(""https://docs.google.com/spreadsheets/d/1XL5vhW3sbDhbH9Cz0tuDiY8C3ctxq1tqvaCgkFb8cCA/edit?usp=sharing"",""ขอนแก่น!J365"")"),621)</f>
        <v>621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IFERROR(__xludf.DUMMYFUNCTION("IMPORTRANGE(""https://docs.google.com/spreadsheets/d/1XL5vhW3sbDhbH9Cz0tuDiY8C3ctxq1tqvaCgkFb8cCA/edit?usp=sharing"",""ขอนแก่น!I366"")"),0)</f>
        <v>0</v>
      </c>
      <c r="J471" s="189">
        <f ca="1">IFERROR(__xludf.DUMMYFUNCTION("IMPORTRANGE(""https://docs.google.com/spreadsheets/d/1XL5vhW3sbDhbH9Cz0tuDiY8C3ctxq1tqvaCgkFb8cCA/edit?usp=sharing"",""ขอนแก่น!J366"")"),2826)</f>
        <v>2826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IFERROR(__xludf.DUMMYFUNCTION("IMPORTRANGE(""https://docs.google.com/spreadsheets/d/1XL5vhW3sbDhbH9Cz0tuDiY8C3ctxq1tqvaCgkFb8cCA/edit?usp=sharing"",""ขอนแก่น!I367"")"),0)</f>
        <v>0</v>
      </c>
      <c r="J472" s="189">
        <f ca="1">IFERROR(__xludf.DUMMYFUNCTION("IMPORTRANGE(""https://docs.google.com/spreadsheets/d/1XL5vhW3sbDhbH9Cz0tuDiY8C3ctxq1tqvaCgkFb8cCA/edit?usp=sharing"",""ขอนแก่น!J367"")"),233)</f>
        <v>233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IFERROR(__xludf.DUMMYFUNCTION("IMPORTRANGE(""https://docs.google.com/spreadsheets/d/1XL5vhW3sbDhbH9Cz0tuDiY8C3ctxq1tqvaCgkFb8cCA/edit?usp=sharing"",""ขอนแก่น!I368"")"),62293)</f>
        <v>62293</v>
      </c>
      <c r="J473" s="420">
        <f ca="1">IFERROR(__xludf.DUMMYFUNCTION("IMPORTRANGE(""https://docs.google.com/spreadsheets/d/1XL5vhW3sbDhbH9Cz0tuDiY8C3ctxq1tqvaCgkFb8cCA/edit?usp=sharing"",""ขอนแก่น!J368"")"),62294)</f>
        <v>62294</v>
      </c>
      <c r="K473" s="202">
        <f t="shared" ca="1" si="117"/>
        <v>100.00160531680928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IFERROR(__xludf.DUMMYFUNCTION("IMPORTRANGE(""https://docs.google.com/spreadsheets/d/1XL5vhW3sbDhbH9Cz0tuDiY8C3ctxq1tqvaCgkFb8cCA/edit?usp=sharing"",""ขอนแก่น!I369"")"),6562)</f>
        <v>6562</v>
      </c>
      <c r="J474" s="420">
        <f ca="1">IFERROR(__xludf.DUMMYFUNCTION("IMPORTRANGE(""https://docs.google.com/spreadsheets/d/1XL5vhW3sbDhbH9Cz0tuDiY8C3ctxq1tqvaCgkFb8cCA/edit?usp=sharing"",""ขอนแก่น!J369"")"),6562)</f>
        <v>6562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IFERROR(__xludf.DUMMYFUNCTION("IMPORTRANGE(""https://docs.google.com/spreadsheets/d/1XL5vhW3sbDhbH9Cz0tuDiY8C3ctxq1tqvaCgkFb8cCA/edit?usp=sharing"",""ขอนแก่น!I370"")"),0)</f>
        <v>0</v>
      </c>
      <c r="J475" s="189">
        <f ca="1">IFERROR(__xludf.DUMMYFUNCTION("IMPORTRANGE(""https://docs.google.com/spreadsheets/d/1XL5vhW3sbDhbH9Cz0tuDiY8C3ctxq1tqvaCgkFb8cCA/edit?usp=sharing"",""ขอนแก่น!J370"")"),56622)</f>
        <v>56622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IFERROR(__xludf.DUMMYFUNCTION("IMPORTRANGE(""https://docs.google.com/spreadsheets/d/1XL5vhW3sbDhbH9Cz0tuDiY8C3ctxq1tqvaCgkFb8cCA/edit?usp=sharing"",""ขอนแก่น!I371"")"),0)</f>
        <v>0</v>
      </c>
      <c r="J476" s="189">
        <f ca="1">IFERROR(__xludf.DUMMYFUNCTION("IMPORTRANGE(""https://docs.google.com/spreadsheets/d/1XL5vhW3sbDhbH9Cz0tuDiY8C3ctxq1tqvaCgkFb8cCA/edit?usp=sharing"",""ขอนแก่น!J371"")"),6042)</f>
        <v>6042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IFERROR(__xludf.DUMMYFUNCTION("IMPORTRANGE(""https://docs.google.com/spreadsheets/d/1XL5vhW3sbDhbH9Cz0tuDiY8C3ctxq1tqvaCgkFb8cCA/edit?usp=sharing"",""ขอนแก่น!I372"")"),0)</f>
        <v>0</v>
      </c>
      <c r="J477" s="189">
        <f ca="1">IFERROR(__xludf.DUMMYFUNCTION("IMPORTRANGE(""https://docs.google.com/spreadsheets/d/1XL5vhW3sbDhbH9Cz0tuDiY8C3ctxq1tqvaCgkFb8cCA/edit?usp=sharing"",""ขอนแก่น!J372"")"),2577)</f>
        <v>2577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IFERROR(__xludf.DUMMYFUNCTION("IMPORTRANGE(""https://docs.google.com/spreadsheets/d/1XL5vhW3sbDhbH9Cz0tuDiY8C3ctxq1tqvaCgkFb8cCA/edit?usp=sharing"",""ขอนแก่น!I373"")"),0)</f>
        <v>0</v>
      </c>
      <c r="J478" s="189">
        <f ca="1">IFERROR(__xludf.DUMMYFUNCTION("IMPORTRANGE(""https://docs.google.com/spreadsheets/d/1XL5vhW3sbDhbH9Cz0tuDiY8C3ctxq1tqvaCgkFb8cCA/edit?usp=sharing"",""ขอนแก่น!J373"")"),260)</f>
        <v>260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IFERROR(__xludf.DUMMYFUNCTION("IMPORTRANGE(""https://docs.google.com/spreadsheets/d/1XL5vhW3sbDhbH9Cz0tuDiY8C3ctxq1tqvaCgkFb8cCA/edit?usp=sharing"",""ขอนแก่น!I374"")"),0)</f>
        <v>0</v>
      </c>
      <c r="J479" s="189">
        <f ca="1">IFERROR(__xludf.DUMMYFUNCTION("IMPORTRANGE(""https://docs.google.com/spreadsheets/d/1XL5vhW3sbDhbH9Cz0tuDiY8C3ctxq1tqvaCgkFb8cCA/edit?usp=sharing"",""ขอนแก่น!J374"")"),3095)</f>
        <v>3095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IFERROR(__xludf.DUMMYFUNCTION("IMPORTRANGE(""https://docs.google.com/spreadsheets/d/1XL5vhW3sbDhbH9Cz0tuDiY8C3ctxq1tqvaCgkFb8cCA/edit?usp=sharing"",""ขอนแก่น!I375"")"),0)</f>
        <v>0</v>
      </c>
      <c r="J480" s="189">
        <f ca="1">IFERROR(__xludf.DUMMYFUNCTION("IMPORTRANGE(""https://docs.google.com/spreadsheets/d/1XL5vhW3sbDhbH9Cz0tuDiY8C3ctxq1tqvaCgkFb8cCA/edit?usp=sharing"",""ขอนแก่น!J375"")"),260)</f>
        <v>260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IFERROR(__xludf.DUMMYFUNCTION("IMPORTRANGE(""https://docs.google.com/spreadsheets/d/1XL5vhW3sbDhbH9Cz0tuDiY8C3ctxq1tqvaCgkFb8cCA/edit?usp=sharing"",""ขอนแก่น!I376"")"),62293)</f>
        <v>62293</v>
      </c>
      <c r="J481" s="420">
        <f ca="1">IFERROR(__xludf.DUMMYFUNCTION("IMPORTRANGE(""https://docs.google.com/spreadsheets/d/1XL5vhW3sbDhbH9Cz0tuDiY8C3ctxq1tqvaCgkFb8cCA/edit?usp=sharing"",""ขอนแก่น!J376"")"),56622)</f>
        <v>56622</v>
      </c>
      <c r="K481" s="202">
        <f t="shared" ca="1" si="117"/>
        <v>90.896248374616732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IFERROR(__xludf.DUMMYFUNCTION("IMPORTRANGE(""https://docs.google.com/spreadsheets/d/1XL5vhW3sbDhbH9Cz0tuDiY8C3ctxq1tqvaCgkFb8cCA/edit?usp=sharing"",""ขอนแก่น!I377"")"),6562)</f>
        <v>6562</v>
      </c>
      <c r="J482" s="420">
        <f ca="1">IFERROR(__xludf.DUMMYFUNCTION("IMPORTRANGE(""https://docs.google.com/spreadsheets/d/1XL5vhW3sbDhbH9Cz0tuDiY8C3ctxq1tqvaCgkFb8cCA/edit?usp=sharing"",""ขอนแก่น!J377"")"),6042)</f>
        <v>6042</v>
      </c>
      <c r="K482" s="163">
        <f t="shared" ca="1" si="117"/>
        <v>92.075586711368487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IFERROR(__xludf.DUMMYFUNCTION("IMPORTRANGE(""https://docs.google.com/spreadsheets/d/1XL5vhW3sbDhbH9Cz0tuDiY8C3ctxq1tqvaCgkFb8cCA/edit?usp=sharing"",""ขอนแก่น!I378"")"),0)</f>
        <v>0</v>
      </c>
      <c r="J483" s="189">
        <f ca="1">IFERROR(__xludf.DUMMYFUNCTION("IMPORTRANGE(""https://docs.google.com/spreadsheets/d/1XL5vhW3sbDhbH9Cz0tuDiY8C3ctxq1tqvaCgkFb8cCA/edit?usp=sharing"",""ขอนแก่น!J378"")"),56622)</f>
        <v>56622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IFERROR(__xludf.DUMMYFUNCTION("IMPORTRANGE(""https://docs.google.com/spreadsheets/d/1XL5vhW3sbDhbH9Cz0tuDiY8C3ctxq1tqvaCgkFb8cCA/edit?usp=sharing"",""ขอนแก่น!I379"")"),0)</f>
        <v>0</v>
      </c>
      <c r="J484" s="189">
        <f ca="1">IFERROR(__xludf.DUMMYFUNCTION("IMPORTRANGE(""https://docs.google.com/spreadsheets/d/1XL5vhW3sbDhbH9Cz0tuDiY8C3ctxq1tqvaCgkFb8cCA/edit?usp=sharing"",""ขอนแก่น!J379"")"),6042)</f>
        <v>6042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IFERROR(__xludf.DUMMYFUNCTION("IMPORTRANGE(""https://docs.google.com/spreadsheets/d/1XL5vhW3sbDhbH9Cz0tuDiY8C3ctxq1tqvaCgkFb8cCA/edit?usp=sharing"",""ขอนแก่น!I380"")"),0)</f>
        <v>0</v>
      </c>
      <c r="J485" s="189">
        <f ca="1">IFERROR(__xludf.DUMMYFUNCTION("IMPORTRANGE(""https://docs.google.com/spreadsheets/d/1XL5vhW3sbDhbH9Cz0tuDiY8C3ctxq1tqvaCgkFb8cCA/edit?usp=sharing"",""ขอนแก่น!J380"")"),0)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IFERROR(__xludf.DUMMYFUNCTION("IMPORTRANGE(""https://docs.google.com/spreadsheets/d/1XL5vhW3sbDhbH9Cz0tuDiY8C3ctxq1tqvaCgkFb8cCA/edit?usp=sharing"",""ขอนแก่น!I381"")"),0)</f>
        <v>0</v>
      </c>
      <c r="J486" s="189">
        <f ca="1">IFERROR(__xludf.DUMMYFUNCTION("IMPORTRANGE(""https://docs.google.com/spreadsheets/d/1XL5vhW3sbDhbH9Cz0tuDiY8C3ctxq1tqvaCgkFb8cCA/edit?usp=sharing"",""ขอนแก่น!J381"")"),0)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IFERROR(__xludf.DUMMYFUNCTION("IMPORTRANGE(""https://docs.google.com/spreadsheets/d/1XL5vhW3sbDhbH9Cz0tuDiY8C3ctxq1tqvaCgkFb8cCA/edit?usp=sharing"",""ขอนแก่น!I382"")"),0)</f>
        <v>0</v>
      </c>
      <c r="J487" s="420">
        <f ca="1">IFERROR(__xludf.DUMMYFUNCTION("IMPORTRANGE(""https://docs.google.com/spreadsheets/d/1XL5vhW3sbDhbH9Cz0tuDiY8C3ctxq1tqvaCgkFb8cCA/edit?usp=sharing"",""ขอนแก่น!J382"")"),0)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IFERROR(__xludf.DUMMYFUNCTION("IMPORTRANGE(""https://docs.google.com/spreadsheets/d/1XL5vhW3sbDhbH9Cz0tuDiY8C3ctxq1tqvaCgkFb8cCA/edit?usp=sharing"",""ขอนแก่น!I383"")"),0)</f>
        <v>0</v>
      </c>
      <c r="J488" s="420">
        <f ca="1">IFERROR(__xludf.DUMMYFUNCTION("IMPORTRANGE(""https://docs.google.com/spreadsheets/d/1XL5vhW3sbDhbH9Cz0tuDiY8C3ctxq1tqvaCgkFb8cCA/edit?usp=sharing"",""ขอนแก่น!J383"")"),0)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IFERROR(__xludf.DUMMYFUNCTION("IMPORTRANGE(""https://docs.google.com/spreadsheets/d/1XL5vhW3sbDhbH9Cz0tuDiY8C3ctxq1tqvaCgkFb8cCA/edit?usp=sharing"",""ขอนแก่น!I384"")"),0)</f>
        <v>0</v>
      </c>
      <c r="J489" s="189">
        <f ca="1">IFERROR(__xludf.DUMMYFUNCTION("IMPORTRANGE(""https://docs.google.com/spreadsheets/d/1XL5vhW3sbDhbH9Cz0tuDiY8C3ctxq1tqvaCgkFb8cCA/edit?usp=sharing"",""ขอนแก่น!J384"")"),0)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IFERROR(__xludf.DUMMYFUNCTION("IMPORTRANGE(""https://docs.google.com/spreadsheets/d/1XL5vhW3sbDhbH9Cz0tuDiY8C3ctxq1tqvaCgkFb8cCA/edit?usp=sharing"",""ขอนแก่น!I385"")"),0)</f>
        <v>0</v>
      </c>
      <c r="J490" s="189">
        <f ca="1">IFERROR(__xludf.DUMMYFUNCTION("IMPORTRANGE(""https://docs.google.com/spreadsheets/d/1XL5vhW3sbDhbH9Cz0tuDiY8C3ctxq1tqvaCgkFb8cCA/edit?usp=sharing"",""ขอนแก่น!J385"")"),0)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IFERROR(__xludf.DUMMYFUNCTION("IMPORTRANGE(""https://docs.google.com/spreadsheets/d/1XL5vhW3sbDhbH9Cz0tuDiY8C3ctxq1tqvaCgkFb8cCA/edit?usp=sharing"",""ขอนแก่น!I386"")"),0)</f>
        <v>0</v>
      </c>
      <c r="J491" s="189">
        <f ca="1">IFERROR(__xludf.DUMMYFUNCTION("IMPORTRANGE(""https://docs.google.com/spreadsheets/d/1XL5vhW3sbDhbH9Cz0tuDiY8C3ctxq1tqvaCgkFb8cCA/edit?usp=sharing"",""ขอนแก่น!J386"")"),0)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IFERROR(__xludf.DUMMYFUNCTION("IMPORTRANGE(""https://docs.google.com/spreadsheets/d/1XL5vhW3sbDhbH9Cz0tuDiY8C3ctxq1tqvaCgkFb8cCA/edit?usp=sharing"",""ขอนแก่น!I387"")"),0)</f>
        <v>0</v>
      </c>
      <c r="J492" s="189">
        <f ca="1">IFERROR(__xludf.DUMMYFUNCTION("IMPORTRANGE(""https://docs.google.com/spreadsheets/d/1XL5vhW3sbDhbH9Cz0tuDiY8C3ctxq1tqvaCgkFb8cCA/edit?usp=sharing"",""ขอนแก่น!J387"")"),0)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IFERROR(__xludf.DUMMYFUNCTION("IMPORTRANGE(""https://docs.google.com/spreadsheets/d/1XL5vhW3sbDhbH9Cz0tuDiY8C3ctxq1tqvaCgkFb8cCA/edit?usp=sharing"",""ขอนแก่น!I388"")"),0)</f>
        <v>0</v>
      </c>
      <c r="J493" s="189">
        <f ca="1">IFERROR(__xludf.DUMMYFUNCTION("IMPORTRANGE(""https://docs.google.com/spreadsheets/d/1XL5vhW3sbDhbH9Cz0tuDiY8C3ctxq1tqvaCgkFb8cCA/edit?usp=sharing"",""ขอนแก่น!J388"")"),0)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IFERROR(__xludf.DUMMYFUNCTION("IMPORTRANGE(""https://docs.google.com/spreadsheets/d/1XL5vhW3sbDhbH9Cz0tuDiY8C3ctxq1tqvaCgkFb8cCA/edit?usp=sharing"",""ขอนแก่น!I389"")"),0)</f>
        <v>0</v>
      </c>
      <c r="J494" s="436">
        <f ca="1">IFERROR(__xludf.DUMMYFUNCTION("IMPORTRANGE(""https://docs.google.com/spreadsheets/d/1XL5vhW3sbDhbH9Cz0tuDiY8C3ctxq1tqvaCgkFb8cCA/edit?usp=sharing"",""ขอนแก่น!J389"")"),0)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IFERROR(__xludf.DUMMYFUNCTION("IMPORTRANGE(""https://docs.google.com/spreadsheets/d/1XL5vhW3sbDhbH9Cz0tuDiY8C3ctxq1tqvaCgkFb8cCA/edit?usp=sharing"",""ขอนแก่น!I390"")"),0)</f>
        <v>0</v>
      </c>
      <c r="J495" s="436">
        <f ca="1">IFERROR(__xludf.DUMMYFUNCTION("IMPORTRANGE(""https://docs.google.com/spreadsheets/d/1XL5vhW3sbDhbH9Cz0tuDiY8C3ctxq1tqvaCgkFb8cCA/edit?usp=sharing"",""ขอนแก่น!J390"")"),0)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IFERROR(__xludf.DUMMYFUNCTION("IMPORTRANGE(""https://docs.google.com/spreadsheets/d/1XL5vhW3sbDhbH9Cz0tuDiY8C3ctxq1tqvaCgkFb8cCA/edit?usp=sharing"",""ขอนแก่น!I391"")"),0)</f>
        <v>0</v>
      </c>
      <c r="J496" s="436">
        <f ca="1">IFERROR(__xludf.DUMMYFUNCTION("IMPORTRANGE(""https://docs.google.com/spreadsheets/d/1XL5vhW3sbDhbH9Cz0tuDiY8C3ctxq1tqvaCgkFb8cCA/edit?usp=sharing"",""ขอนแก่น!J391"")"),0)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IFERROR(__xludf.DUMMYFUNCTION("IMPORTRANGE(""https://docs.google.com/spreadsheets/d/1XL5vhW3sbDhbH9Cz0tuDiY8C3ctxq1tqvaCgkFb8cCA/edit?usp=sharing"",""ขอนแก่น!I392"")"),195)</f>
        <v>195</v>
      </c>
      <c r="J497" s="443">
        <f ca="1">IFERROR(__xludf.DUMMYFUNCTION("IMPORTRANGE(""https://docs.google.com/spreadsheets/d/1XL5vhW3sbDhbH9Cz0tuDiY8C3ctxq1tqvaCgkFb8cCA/edit?usp=sharing"",""ขอนแก่น!J392"")"),196)</f>
        <v>196</v>
      </c>
      <c r="K497" s="444">
        <f t="shared" ca="1" si="117"/>
        <v>100.51282051282051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IFERROR(__xludf.DUMMYFUNCTION("IMPORTRANGE(""https://docs.google.com/spreadsheets/d/1XL5vhW3sbDhbH9Cz0tuDiY8C3ctxq1tqvaCgkFb8cCA/edit?usp=sharing"",""ขอนแก่น!I393"")"),195)</f>
        <v>195</v>
      </c>
      <c r="J498" s="420">
        <f ca="1">IFERROR(__xludf.DUMMYFUNCTION("IMPORTRANGE(""https://docs.google.com/spreadsheets/d/1XL5vhW3sbDhbH9Cz0tuDiY8C3ctxq1tqvaCgkFb8cCA/edit?usp=sharing"",""ขอนแก่น!J393"")"),196)</f>
        <v>196</v>
      </c>
      <c r="K498" s="202">
        <f t="shared" ca="1" si="117"/>
        <v>100.51282051282051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IFERROR(__xludf.DUMMYFUNCTION("IMPORTRANGE(""https://docs.google.com/spreadsheets/d/1XL5vhW3sbDhbH9Cz0tuDiY8C3ctxq1tqvaCgkFb8cCA/edit?usp=sharing"",""ขอนแก่น!I394"")"),21)</f>
        <v>21</v>
      </c>
      <c r="J499" s="420">
        <f ca="1">IFERROR(__xludf.DUMMYFUNCTION("IMPORTRANGE(""https://docs.google.com/spreadsheets/d/1XL5vhW3sbDhbH9Cz0tuDiY8C3ctxq1tqvaCgkFb8cCA/edit?usp=sharing"",""ขอนแก่น!J394"")"),21)</f>
        <v>21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IFERROR(__xludf.DUMMYFUNCTION("IMPORTRANGE(""https://docs.google.com/spreadsheets/d/1XL5vhW3sbDhbH9Cz0tuDiY8C3ctxq1tqvaCgkFb8cCA/edit?usp=sharing"",""ขอนแก่น!I395"")"),0)</f>
        <v>0</v>
      </c>
      <c r="J500" s="162">
        <f ca="1">IFERROR(__xludf.DUMMYFUNCTION("IMPORTRANGE(""https://docs.google.com/spreadsheets/d/1XL5vhW3sbDhbH9Cz0tuDiY8C3ctxq1tqvaCgkFb8cCA/edit?usp=sharing"",""ขอนแก่น!J395"")"),194)</f>
        <v>194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IFERROR(__xludf.DUMMYFUNCTION("IMPORTRANGE(""https://docs.google.com/spreadsheets/d/1XL5vhW3sbDhbH9Cz0tuDiY8C3ctxq1tqvaCgkFb8cCA/edit?usp=sharing"",""ขอนแก่น!I396"")"),0)</f>
        <v>0</v>
      </c>
      <c r="J501" s="162">
        <f ca="1">IFERROR(__xludf.DUMMYFUNCTION("IMPORTRANGE(""https://docs.google.com/spreadsheets/d/1XL5vhW3sbDhbH9Cz0tuDiY8C3ctxq1tqvaCgkFb8cCA/edit?usp=sharing"",""ขอนแก่น!J396"")"),20)</f>
        <v>20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IFERROR(__xludf.DUMMYFUNCTION("IMPORTRANGE(""https://docs.google.com/spreadsheets/d/1XL5vhW3sbDhbH9Cz0tuDiY8C3ctxq1tqvaCgkFb8cCA/edit?usp=sharing"",""ขอนแก่น!I397"")"),0)</f>
        <v>0</v>
      </c>
      <c r="J502" s="189">
        <f ca="1">IFERROR(__xludf.DUMMYFUNCTION("IMPORTRANGE(""https://docs.google.com/spreadsheets/d/1XL5vhW3sbDhbH9Cz0tuDiY8C3ctxq1tqvaCgkFb8cCA/edit?usp=sharing"",""ขอนแก่น!J397"")"),155)</f>
        <v>155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IFERROR(__xludf.DUMMYFUNCTION("IMPORTRANGE(""https://docs.google.com/spreadsheets/d/1XL5vhW3sbDhbH9Cz0tuDiY8C3ctxq1tqvaCgkFb8cCA/edit?usp=sharing"",""ขอนแก่น!I398"")"),0)</f>
        <v>0</v>
      </c>
      <c r="J503" s="198">
        <f ca="1">IFERROR(__xludf.DUMMYFUNCTION("IMPORTRANGE(""https://docs.google.com/spreadsheets/d/1XL5vhW3sbDhbH9Cz0tuDiY8C3ctxq1tqvaCgkFb8cCA/edit?usp=sharing"",""ขอนแก่น!J398"")"),17)</f>
        <v>17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IFERROR(__xludf.DUMMYFUNCTION("IMPORTRANGE(""https://docs.google.com/spreadsheets/d/1XL5vhW3sbDhbH9Cz0tuDiY8C3ctxq1tqvaCgkFb8cCA/edit?usp=sharing"",""ขอนแก่น!I399"")"),0)</f>
        <v>0</v>
      </c>
      <c r="J504" s="189">
        <f ca="1">IFERROR(__xludf.DUMMYFUNCTION("IMPORTRANGE(""https://docs.google.com/spreadsheets/d/1XL5vhW3sbDhbH9Cz0tuDiY8C3ctxq1tqvaCgkFb8cCA/edit?usp=sharing"",""ขอนแก่น!J399"")"),39)</f>
        <v>39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IFERROR(__xludf.DUMMYFUNCTION("IMPORTRANGE(""https://docs.google.com/spreadsheets/d/1XL5vhW3sbDhbH9Cz0tuDiY8C3ctxq1tqvaCgkFb8cCA/edit?usp=sharing"",""ขอนแก่น!I400"")"),0)</f>
        <v>0</v>
      </c>
      <c r="J505" s="198">
        <f ca="1">IFERROR(__xludf.DUMMYFUNCTION("IMPORTRANGE(""https://docs.google.com/spreadsheets/d/1XL5vhW3sbDhbH9Cz0tuDiY8C3ctxq1tqvaCgkFb8cCA/edit?usp=sharing"",""ขอนแก่น!J400"")"),3)</f>
        <v>3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IFERROR(__xludf.DUMMYFUNCTION("IMPORTRANGE(""https://docs.google.com/spreadsheets/d/1XL5vhW3sbDhbH9Cz0tuDiY8C3ctxq1tqvaCgkFb8cCA/edit?usp=sharing"",""ขอนแก่น!I401"")"),0)</f>
        <v>0</v>
      </c>
      <c r="J506" s="189">
        <f ca="1">IFERROR(__xludf.DUMMYFUNCTION("IMPORTRANGE(""https://docs.google.com/spreadsheets/d/1XL5vhW3sbDhbH9Cz0tuDiY8C3ctxq1tqvaCgkFb8cCA/edit?usp=sharing"",""ขอนแก่น!J401"")"),0)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IFERROR(__xludf.DUMMYFUNCTION("IMPORTRANGE(""https://docs.google.com/spreadsheets/d/1XL5vhW3sbDhbH9Cz0tuDiY8C3ctxq1tqvaCgkFb8cCA/edit?usp=sharing"",""ขอนแก่น!I402"")"),0)</f>
        <v>0</v>
      </c>
      <c r="J507" s="198">
        <f ca="1">IFERROR(__xludf.DUMMYFUNCTION("IMPORTRANGE(""https://docs.google.com/spreadsheets/d/1XL5vhW3sbDhbH9Cz0tuDiY8C3ctxq1tqvaCgkFb8cCA/edit?usp=sharing"",""ขอนแก่น!J402"")"),0)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IFERROR(__xludf.DUMMYFUNCTION("IMPORTRANGE(""https://docs.google.com/spreadsheets/d/1XL5vhW3sbDhbH9Cz0tuDiY8C3ctxq1tqvaCgkFb8cCA/edit?usp=sharing"",""ขอนแก่น!I403"")"),0)</f>
        <v>0</v>
      </c>
      <c r="J508" s="162">
        <f ca="1">IFERROR(__xludf.DUMMYFUNCTION("IMPORTRANGE(""https://docs.google.com/spreadsheets/d/1XL5vhW3sbDhbH9Cz0tuDiY8C3ctxq1tqvaCgkFb8cCA/edit?usp=sharing"",""ขอนแก่น!J403"")"),0)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IFERROR(__xludf.DUMMYFUNCTION("IMPORTRANGE(""https://docs.google.com/spreadsheets/d/1XL5vhW3sbDhbH9Cz0tuDiY8C3ctxq1tqvaCgkFb8cCA/edit?usp=sharing"",""ขอนแก่น!I404"")"),0)</f>
        <v>0</v>
      </c>
      <c r="J509" s="162">
        <f ca="1">IFERROR(__xludf.DUMMYFUNCTION("IMPORTRANGE(""https://docs.google.com/spreadsheets/d/1XL5vhW3sbDhbH9Cz0tuDiY8C3ctxq1tqvaCgkFb8cCA/edit?usp=sharing"",""ขอนแก่น!J404"")"),0)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IFERROR(__xludf.DUMMYFUNCTION("IMPORTRANGE(""https://docs.google.com/spreadsheets/d/1XL5vhW3sbDhbH9Cz0tuDiY8C3ctxq1tqvaCgkFb8cCA/edit?usp=sharing"",""ขอนแก่น!I405"")"),0)</f>
        <v>0</v>
      </c>
      <c r="J510" s="198">
        <f ca="1">IFERROR(__xludf.DUMMYFUNCTION("IMPORTRANGE(""https://docs.google.com/spreadsheets/d/1XL5vhW3sbDhbH9Cz0tuDiY8C3ctxq1tqvaCgkFb8cCA/edit?usp=sharing"",""ขอนแก่น!J405"")"),0)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IFERROR(__xludf.DUMMYFUNCTION("IMPORTRANGE(""https://docs.google.com/spreadsheets/d/1XL5vhW3sbDhbH9Cz0tuDiY8C3ctxq1tqvaCgkFb8cCA/edit?usp=sharing"",""ขอนแก่น!I406"")"),0)</f>
        <v>0</v>
      </c>
      <c r="J511" s="198">
        <f ca="1">IFERROR(__xludf.DUMMYFUNCTION("IMPORTRANGE(""https://docs.google.com/spreadsheets/d/1XL5vhW3sbDhbH9Cz0tuDiY8C3ctxq1tqvaCgkFb8cCA/edit?usp=sharing"",""ขอนแก่น!J406"")"),0)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IFERROR(__xludf.DUMMYFUNCTION("IMPORTRANGE(""https://docs.google.com/spreadsheets/d/1XL5vhW3sbDhbH9Cz0tuDiY8C3ctxq1tqvaCgkFb8cCA/edit?usp=sharing"",""ขอนแก่น!I407"")"),0)</f>
        <v>0</v>
      </c>
      <c r="J512" s="198">
        <f ca="1">IFERROR(__xludf.DUMMYFUNCTION("IMPORTRANGE(""https://docs.google.com/spreadsheets/d/1XL5vhW3sbDhbH9Cz0tuDiY8C3ctxq1tqvaCgkFb8cCA/edit?usp=sharing"",""ขอนแก่น!J407"")"),0)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IFERROR(__xludf.DUMMYFUNCTION("IMPORTRANGE(""https://docs.google.com/spreadsheets/d/1XL5vhW3sbDhbH9Cz0tuDiY8C3ctxq1tqvaCgkFb8cCA/edit?usp=sharing"",""ขอนแก่น!I408"")"),0)</f>
        <v>0</v>
      </c>
      <c r="J513" s="198">
        <f ca="1">IFERROR(__xludf.DUMMYFUNCTION("IMPORTRANGE(""https://docs.google.com/spreadsheets/d/1XL5vhW3sbDhbH9Cz0tuDiY8C3ctxq1tqvaCgkFb8cCA/edit?usp=sharing"",""ขอนแก่น!J408"")"),0)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IFERROR(__xludf.DUMMYFUNCTION("IMPORTRANGE(""https://docs.google.com/spreadsheets/d/1XL5vhW3sbDhbH9Cz0tuDiY8C3ctxq1tqvaCgkFb8cCA/edit?usp=sharing"",""ขอนแก่น!I409"")"),0)</f>
        <v>0</v>
      </c>
      <c r="J514" s="198">
        <f ca="1">IFERROR(__xludf.DUMMYFUNCTION("IMPORTRANGE(""https://docs.google.com/spreadsheets/d/1XL5vhW3sbDhbH9Cz0tuDiY8C3ctxq1tqvaCgkFb8cCA/edit?usp=sharing"",""ขอนแก่น!J409"")"),2)</f>
        <v>2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IFERROR(__xludf.DUMMYFUNCTION("IMPORTRANGE(""https://docs.google.com/spreadsheets/d/1XL5vhW3sbDhbH9Cz0tuDiY8C3ctxq1tqvaCgkFb8cCA/edit?usp=sharing"",""ขอนแก่น!I410"")"),0)</f>
        <v>0</v>
      </c>
      <c r="J515" s="198">
        <f ca="1">IFERROR(__xludf.DUMMYFUNCTION("IMPORTRANGE(""https://docs.google.com/spreadsheets/d/1XL5vhW3sbDhbH9Cz0tuDiY8C3ctxq1tqvaCgkFb8cCA/edit?usp=sharing"",""ขอนแก่น!J410"")"),1)</f>
        <v>1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IFERROR(__xludf.DUMMYFUNCTION("IMPORTRANGE(""https://docs.google.com/spreadsheets/d/1XL5vhW3sbDhbH9Cz0tuDiY8C3ctxq1tqvaCgkFb8cCA/edit?usp=sharing"",""ขอนแก่น!I411"")"),0)</f>
        <v>0</v>
      </c>
      <c r="J516" s="267">
        <f ca="1">IFERROR(__xludf.DUMMYFUNCTION("IMPORTRANGE(""https://docs.google.com/spreadsheets/d/1XL5vhW3sbDhbH9Cz0tuDiY8C3ctxq1tqvaCgkFb8cCA/edit?usp=sharing"",""ขอนแก่น!J411"")"),0)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IFERROR(__xludf.DUMMYFUNCTION("IMPORTRANGE(""https://docs.google.com/spreadsheets/d/1XL5vhW3sbDhbH9Cz0tuDiY8C3ctxq1tqvaCgkFb8cCA/edit?usp=sharing"",""ขอนแก่น!I412"")"),0)</f>
        <v>0</v>
      </c>
      <c r="J517" s="284">
        <f ca="1">IFERROR(__xludf.DUMMYFUNCTION("IMPORTRANGE(""https://docs.google.com/spreadsheets/d/1XL5vhW3sbDhbH9Cz0tuDiY8C3ctxq1tqvaCgkFb8cCA/edit?usp=sharing"",""ขอนแก่น!J412"")"),0)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IFERROR(__xludf.DUMMYFUNCTION("IMPORTRANGE(""https://docs.google.com/spreadsheets/d/1XL5vhW3sbDhbH9Cz0tuDiY8C3ctxq1tqvaCgkFb8cCA/edit?usp=sharing"",""ขอนแก่น!I413"")"),0)</f>
        <v>0</v>
      </c>
      <c r="J518" s="284">
        <f ca="1">IFERROR(__xludf.DUMMYFUNCTION("IMPORTRANGE(""https://docs.google.com/spreadsheets/d/1XL5vhW3sbDhbH9Cz0tuDiY8C3ctxq1tqvaCgkFb8cCA/edit?usp=sharing"",""ขอนแก่น!J413"")"),0)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IFERROR(__xludf.DUMMYFUNCTION("IMPORTRANGE(""https://docs.google.com/spreadsheets/d/1XL5vhW3sbDhbH9Cz0tuDiY8C3ctxq1tqvaCgkFb8cCA/edit?usp=sharing"",""ขอนแก่น!I414"")"),0)</f>
        <v>0</v>
      </c>
      <c r="J519" s="188">
        <f ca="1">IFERROR(__xludf.DUMMYFUNCTION("IMPORTRANGE(""https://docs.google.com/spreadsheets/d/1XL5vhW3sbDhbH9Cz0tuDiY8C3ctxq1tqvaCgkFb8cCA/edit?usp=sharing"",""ขอนแก่น!J414"")"),0)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IFERROR(__xludf.DUMMYFUNCTION("IMPORTRANGE(""https://docs.google.com/spreadsheets/d/1XL5vhW3sbDhbH9Cz0tuDiY8C3ctxq1tqvaCgkFb8cCA/edit?usp=sharing"",""ขอนแก่น!I415"")"),0)</f>
        <v>0</v>
      </c>
      <c r="J520" s="188">
        <f ca="1">IFERROR(__xludf.DUMMYFUNCTION("IMPORTRANGE(""https://docs.google.com/spreadsheets/d/1XL5vhW3sbDhbH9Cz0tuDiY8C3ctxq1tqvaCgkFb8cCA/edit?usp=sharing"",""ขอนแก่น!J415"")"),0)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IFERROR(__xludf.DUMMYFUNCTION("IMPORTRANGE(""https://docs.google.com/spreadsheets/d/1XL5vhW3sbDhbH9Cz0tuDiY8C3ctxq1tqvaCgkFb8cCA/edit?usp=sharing"",""ขอนแก่น!I416"")"),0)</f>
        <v>0</v>
      </c>
      <c r="J521" s="188">
        <f ca="1">IFERROR(__xludf.DUMMYFUNCTION("IMPORTRANGE(""https://docs.google.com/spreadsheets/d/1XL5vhW3sbDhbH9Cz0tuDiY8C3ctxq1tqvaCgkFb8cCA/edit?usp=sharing"",""ขอนแก่น!J416"")"),0)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IFERROR(__xludf.DUMMYFUNCTION("IMPORTRANGE(""https://docs.google.com/spreadsheets/d/1XL5vhW3sbDhbH9Cz0tuDiY8C3ctxq1tqvaCgkFb8cCA/edit?usp=sharing"",""ขอนแก่น!I417"")"),0)</f>
        <v>0</v>
      </c>
      <c r="J522" s="188">
        <f ca="1">IFERROR(__xludf.DUMMYFUNCTION("IMPORTRANGE(""https://docs.google.com/spreadsheets/d/1XL5vhW3sbDhbH9Cz0tuDiY8C3ctxq1tqvaCgkFb8cCA/edit?usp=sharing"",""ขอนแก่น!J417"")"),0)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IFERROR(__xludf.DUMMYFUNCTION("IMPORTRANGE(""https://docs.google.com/spreadsheets/d/1XL5vhW3sbDhbH9Cz0tuDiY8C3ctxq1tqvaCgkFb8cCA/edit?usp=sharing"",""ขอนแก่น!I418"")"),0)</f>
        <v>0</v>
      </c>
      <c r="J523" s="188">
        <f ca="1">IFERROR(__xludf.DUMMYFUNCTION("IMPORTRANGE(""https://docs.google.com/spreadsheets/d/1XL5vhW3sbDhbH9Cz0tuDiY8C3ctxq1tqvaCgkFb8cCA/edit?usp=sharing"",""ขอนแก่น!J418"")"),14)</f>
        <v>14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IFERROR(__xludf.DUMMYFUNCTION("IMPORTRANGE(""https://docs.google.com/spreadsheets/d/1XL5vhW3sbDhbH9Cz0tuDiY8C3ctxq1tqvaCgkFb8cCA/edit?usp=sharing"",""ขอนแก่น!I419"")"),0)</f>
        <v>0</v>
      </c>
      <c r="J524" s="188">
        <f ca="1">IFERROR(__xludf.DUMMYFUNCTION("IMPORTRANGE(""https://docs.google.com/spreadsheets/d/1XL5vhW3sbDhbH9Cz0tuDiY8C3ctxq1tqvaCgkFb8cCA/edit?usp=sharing"",""ขอนแก่น!J419"")"),1)</f>
        <v>1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IFERROR(__xludf.DUMMYFUNCTION("IMPORTRANGE(""https://docs.google.com/spreadsheets/d/1XL5vhW3sbDhbH9Cz0tuDiY8C3ctxq1tqvaCgkFb8cCA/edit?usp=sharing"",""ขอนแก่น!I420"")"),14)</f>
        <v>14</v>
      </c>
      <c r="J525" s="284">
        <f ca="1">IFERROR(__xludf.DUMMYFUNCTION("IMPORTRANGE(""https://docs.google.com/spreadsheets/d/1XL5vhW3sbDhbH9Cz0tuDiY8C3ctxq1tqvaCgkFb8cCA/edit?usp=sharing"",""ขอนแก่น!J420"")"),14)</f>
        <v>14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IFERROR(__xludf.DUMMYFUNCTION("IMPORTRANGE(""https://docs.google.com/spreadsheets/d/1XL5vhW3sbDhbH9Cz0tuDiY8C3ctxq1tqvaCgkFb8cCA/edit?usp=sharing"",""ขอนแก่น!I421"")"),1)</f>
        <v>1</v>
      </c>
      <c r="J526" s="284">
        <f ca="1">IFERROR(__xludf.DUMMYFUNCTION("IMPORTRANGE(""https://docs.google.com/spreadsheets/d/1XL5vhW3sbDhbH9Cz0tuDiY8C3ctxq1tqvaCgkFb8cCA/edit?usp=sharing"",""ขอนแก่น!J421"")"),1)</f>
        <v>1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IFERROR(__xludf.DUMMYFUNCTION("IMPORTRANGE(""https://docs.google.com/spreadsheets/d/1XL5vhW3sbDhbH9Cz0tuDiY8C3ctxq1tqvaCgkFb8cCA/edit?usp=sharing"",""ขอนแก่น!I422"")"),0)</f>
        <v>0</v>
      </c>
      <c r="J527" s="198">
        <f ca="1">IFERROR(__xludf.DUMMYFUNCTION("IMPORTRANGE(""https://docs.google.com/spreadsheets/d/1XL5vhW3sbDhbH9Cz0tuDiY8C3ctxq1tqvaCgkFb8cCA/edit?usp=sharing"",""ขอนแก่น!J422"")"),0)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IFERROR(__xludf.DUMMYFUNCTION("IMPORTRANGE(""https://docs.google.com/spreadsheets/d/1XL5vhW3sbDhbH9Cz0tuDiY8C3ctxq1tqvaCgkFb8cCA/edit?usp=sharing"",""ขอนแก่น!I423"")"),0)</f>
        <v>0</v>
      </c>
      <c r="J528" s="198">
        <f ca="1">IFERROR(__xludf.DUMMYFUNCTION("IMPORTRANGE(""https://docs.google.com/spreadsheets/d/1XL5vhW3sbDhbH9Cz0tuDiY8C3ctxq1tqvaCgkFb8cCA/edit?usp=sharing"",""ขอนแก่น!J423"")"),0)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IFERROR(__xludf.DUMMYFUNCTION("IMPORTRANGE(""https://docs.google.com/spreadsheets/d/1XL5vhW3sbDhbH9Cz0tuDiY8C3ctxq1tqvaCgkFb8cCA/edit?usp=sharing"",""ขอนแก่น!I424"")"),0)</f>
        <v>0</v>
      </c>
      <c r="J529" s="198">
        <f ca="1">IFERROR(__xludf.DUMMYFUNCTION("IMPORTRANGE(""https://docs.google.com/spreadsheets/d/1XL5vhW3sbDhbH9Cz0tuDiY8C3ctxq1tqvaCgkFb8cCA/edit?usp=sharing"",""ขอนแก่น!J424"")"),0)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IFERROR(__xludf.DUMMYFUNCTION("IMPORTRANGE(""https://docs.google.com/spreadsheets/d/1XL5vhW3sbDhbH9Cz0tuDiY8C3ctxq1tqvaCgkFb8cCA/edit?usp=sharing"",""ขอนแก่น!I425"")"),0)</f>
        <v>0</v>
      </c>
      <c r="J530" s="198">
        <f ca="1">IFERROR(__xludf.DUMMYFUNCTION("IMPORTRANGE(""https://docs.google.com/spreadsheets/d/1XL5vhW3sbDhbH9Cz0tuDiY8C3ctxq1tqvaCgkFb8cCA/edit?usp=sharing"",""ขอนแก่น!J425"")"),0)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IFERROR(__xludf.DUMMYFUNCTION("IMPORTRANGE(""https://docs.google.com/spreadsheets/d/1XL5vhW3sbDhbH9Cz0tuDiY8C3ctxq1tqvaCgkFb8cCA/edit?usp=sharing"",""ขอนแก่น!I426"")"),0)</f>
        <v>0</v>
      </c>
      <c r="J531" s="198">
        <f ca="1">IFERROR(__xludf.DUMMYFUNCTION("IMPORTRANGE(""https://docs.google.com/spreadsheets/d/1XL5vhW3sbDhbH9Cz0tuDiY8C3ctxq1tqvaCgkFb8cCA/edit?usp=sharing"",""ขอนแก่น!J426"")"),14)</f>
        <v>14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IFERROR(__xludf.DUMMYFUNCTION("IMPORTRANGE(""https://docs.google.com/spreadsheets/d/1XL5vhW3sbDhbH9Cz0tuDiY8C3ctxq1tqvaCgkFb8cCA/edit?usp=sharing"",""ขอนแก่น!I427"")"),0)</f>
        <v>0</v>
      </c>
      <c r="J532" s="466">
        <f ca="1">IFERROR(__xludf.DUMMYFUNCTION("IMPORTRANGE(""https://docs.google.com/spreadsheets/d/1XL5vhW3sbDhbH9Cz0tuDiY8C3ctxq1tqvaCgkFb8cCA/edit?usp=sharing"",""ขอนแก่น!J427"")"),1)</f>
        <v>1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IFERROR(__xludf.DUMMYFUNCTION("IMPORTRANGE(""https://docs.google.com/spreadsheets/d/1XL5vhW3sbDhbH9Cz0tuDiY8C3ctxq1tqvaCgkFb8cCA/edit?usp=sharing"",""ขอนแก่น!I428"")"),26)</f>
        <v>26</v>
      </c>
      <c r="J533" s="410">
        <f ca="1">IFERROR(__xludf.DUMMYFUNCTION("IMPORTRANGE(""https://docs.google.com/spreadsheets/d/1XL5vhW3sbDhbH9Cz0tuDiY8C3ctxq1tqvaCgkFb8cCA/edit?usp=sharing"",""ขอนแก่น!J428"")"),26)</f>
        <v>26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IFERROR(__xludf.DUMMYFUNCTION("IMPORTRANGE(""https://docs.google.com/spreadsheets/d/1XL5vhW3sbDhbH9Cz0tuDiY8C3ctxq1tqvaCgkFb8cCA/edit?usp=sharing"",""ขอนแก่น!L428"")"),37740)</f>
        <v>37740</v>
      </c>
      <c r="M533" s="412"/>
      <c r="N533" s="412">
        <f ca="1">IFERROR(__xludf.DUMMYFUNCTION("IMPORTRANGE(""https://docs.google.com/spreadsheets/d/1XL5vhW3sbDhbH9Cz0tuDiY8C3ctxq1tqvaCgkFb8cCA/edit?usp=sharing"",""ขอนแก่น!M428"")"),21773)</f>
        <v>21773</v>
      </c>
      <c r="O533" s="412">
        <f t="shared" ref="O533:O537" ca="1" si="118">+IF(L533&gt;0,N533*100/L533,0)</f>
        <v>57.692103868574456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IFERROR(__xludf.DUMMYFUNCTION("IMPORTRANGE(""https://docs.google.com/spreadsheets/d/1XL5vhW3sbDhbH9Cz0tuDiY8C3ctxq1tqvaCgkFb8cCA/edit?usp=sharing"",""ขอนแก่น!L429"")"),0)</f>
        <v>0</v>
      </c>
      <c r="M534" s="164"/>
      <c r="N534" s="169">
        <f ca="1">IFERROR(__xludf.DUMMYFUNCTION("IMPORTRANGE(""https://docs.google.com/spreadsheets/d/1XL5vhW3sbDhbH9Cz0tuDiY8C3ctxq1tqvaCgkFb8cCA/edit?usp=sharing"",""ขอนแก่น!M429"")"),0)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IFERROR(__xludf.DUMMYFUNCTION("IMPORTRANGE(""https://docs.google.com/spreadsheets/d/1XL5vhW3sbDhbH9Cz0tuDiY8C3ctxq1tqvaCgkFb8cCA/edit?usp=sharing"",""ขอนแก่น!L430"")"),37740)</f>
        <v>37740</v>
      </c>
      <c r="M535" s="165"/>
      <c r="N535" s="169">
        <f ca="1">IFERROR(__xludf.DUMMYFUNCTION("IMPORTRANGE(""https://docs.google.com/spreadsheets/d/1XL5vhW3sbDhbH9Cz0tuDiY8C3ctxq1tqvaCgkFb8cCA/edit?usp=sharing"",""ขอนแก่น!M430"")"),21773)</f>
        <v>21773</v>
      </c>
      <c r="O535" s="169">
        <f t="shared" ca="1" si="118"/>
        <v>57.692103868574456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IFERROR(__xludf.DUMMYFUNCTION("IMPORTRANGE(""https://docs.google.com/spreadsheets/d/1XL5vhW3sbDhbH9Cz0tuDiY8C3ctxq1tqvaCgkFb8cCA/edit?usp=sharing"",""ขอนแก่น!L431"")"),0)</f>
        <v>0</v>
      </c>
      <c r="M536" s="169"/>
      <c r="N536" s="169">
        <f ca="1">IFERROR(__xludf.DUMMYFUNCTION("IMPORTRANGE(""https://docs.google.com/spreadsheets/d/1XL5vhW3sbDhbH9Cz0tuDiY8C3ctxq1tqvaCgkFb8cCA/edit?usp=sharing"",""ขอนแก่น!M431"")"),0)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IFERROR(__xludf.DUMMYFUNCTION("IMPORTRANGE(""https://docs.google.com/spreadsheets/d/1XL5vhW3sbDhbH9Cz0tuDiY8C3ctxq1tqvaCgkFb8cCA/edit?usp=sharing"",""ขอนแก่น!L432"")"),37740)</f>
        <v>37740</v>
      </c>
      <c r="M537" s="169"/>
      <c r="N537" s="169">
        <f ca="1">IFERROR(__xludf.DUMMYFUNCTION("IMPORTRANGE(""https://docs.google.com/spreadsheets/d/1XL5vhW3sbDhbH9Cz0tuDiY8C3ctxq1tqvaCgkFb8cCA/edit?usp=sharing"",""ขอนแก่น!M432"")"),21773)</f>
        <v>21773</v>
      </c>
      <c r="O537" s="169">
        <f t="shared" ca="1" si="118"/>
        <v>57.692103868574456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IFERROR(__xludf.DUMMYFUNCTION("IMPORTRANGE(""https://docs.google.com/spreadsheets/d/1XL5vhW3sbDhbH9Cz0tuDiY8C3ctxq1tqvaCgkFb8cCA/edit?usp=sharing"",""ขอนแก่น!M433"")"),15940)</f>
        <v>15940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IFERROR(__xludf.DUMMYFUNCTION("IMPORTRANGE(""https://docs.google.com/spreadsheets/d/1XL5vhW3sbDhbH9Cz0tuDiY8C3ctxq1tqvaCgkFb8cCA/edit?usp=sharing"",""ขอนแก่น!M434"")"),0)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IFERROR(__xludf.DUMMYFUNCTION("IMPORTRANGE(""https://docs.google.com/spreadsheets/d/1XL5vhW3sbDhbH9Cz0tuDiY8C3ctxq1tqvaCgkFb8cCA/edit?usp=sharing"",""ขอนแก่น!M435"")"),0)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IFERROR(__xludf.DUMMYFUNCTION("IMPORTRANGE(""https://docs.google.com/spreadsheets/d/1XL5vhW3sbDhbH9Cz0tuDiY8C3ctxq1tqvaCgkFb8cCA/edit?usp=sharing"",""ขอนแก่น!M436"")"),5833)</f>
        <v>5833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IFERROR(__xludf.DUMMYFUNCTION("IMPORTRANGE(""https://docs.google.com/spreadsheets/d/1XL5vhW3sbDhbH9Cz0tuDiY8C3ctxq1tqvaCgkFb8cCA/edit?usp=sharing"",""ขอนแก่น!J438"")"),0)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IFERROR(__xludf.DUMMYFUNCTION("IMPORTRANGE(""https://docs.google.com/spreadsheets/d/1XL5vhW3sbDhbH9Cz0tuDiY8C3ctxq1tqvaCgkFb8cCA/edit?usp=sharing"",""ขอนแก่น!J439"")"),1)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IFERROR(__xludf.DUMMYFUNCTION("IMPORTRANGE(""https://docs.google.com/spreadsheets/d/1XL5vhW3sbDhbH9Cz0tuDiY8C3ctxq1tqvaCgkFb8cCA/edit?usp=sharing"",""ขอนแก่น!J440"")"),1)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IFERROR(__xludf.DUMMYFUNCTION("IMPORTRANGE(""https://docs.google.com/spreadsheets/d/1XL5vhW3sbDhbH9Cz0tuDiY8C3ctxq1tqvaCgkFb8cCA/edit?usp=sharing"",""ขอนแก่น!J441"")"),1)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IFERROR(__xludf.DUMMYFUNCTION("IMPORTRANGE(""https://docs.google.com/spreadsheets/d/1XL5vhW3sbDhbH9Cz0tuDiY8C3ctxq1tqvaCgkFb8cCA/edit?usp=sharing"",""ขอนแก่น!I442"")"),26)</f>
        <v>26</v>
      </c>
      <c r="J547" s="189">
        <f ca="1">IFERROR(__xludf.DUMMYFUNCTION("IMPORTRANGE(""https://docs.google.com/spreadsheets/d/1XL5vhW3sbDhbH9Cz0tuDiY8C3ctxq1tqvaCgkFb8cCA/edit?usp=sharing"",""ขอนแก่น!J442"")"),26)</f>
        <v>26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IFERROR(__xludf.DUMMYFUNCTION("IMPORTRANGE(""https://docs.google.com/spreadsheets/d/1XL5vhW3sbDhbH9Cz0tuDiY8C3ctxq1tqvaCgkFb8cCA/edit?usp=sharing"",""ขอนแก่น!J166"")"),0)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IFERROR(__xludf.DUMMYFUNCTION("IMPORTRANGE(""https://docs.google.com/spreadsheets/d/1XL5vhW3sbDhbH9Cz0tuDiY8C3ctxq1tqvaCgkFb8cCA/edit?usp=sharing"",""ขอนแก่น!J444"")"),0)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IFERROR(__xludf.DUMMYFUNCTION("IMPORTRANGE(""https://docs.google.com/spreadsheets/d/1XL5vhW3sbDhbH9Cz0tuDiY8C3ctxq1tqvaCgkFb8cCA/edit?usp=sharing"",""ขอนแก่น!J445"")"),0)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IFERROR(__xludf.DUMMYFUNCTION("IMPORTRANGE(""https://docs.google.com/spreadsheets/d/1XL5vhW3sbDhbH9Cz0tuDiY8C3ctxq1tqvaCgkFb8cCA/edit?usp=sharing"",""ขอนแก่น!I446"")"),0)</f>
        <v>0</v>
      </c>
      <c r="J551" s="410">
        <f ca="1">IFERROR(__xludf.DUMMYFUNCTION("IMPORTRANGE(""https://docs.google.com/spreadsheets/d/1XL5vhW3sbDhbH9Cz0tuDiY8C3ctxq1tqvaCgkFb8cCA/edit?usp=sharing"",""ขอนแก่น!J446"")"),0)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IFERROR(__xludf.DUMMYFUNCTION("IMPORTRANGE(""https://docs.google.com/spreadsheets/d/1XL5vhW3sbDhbH9Cz0tuDiY8C3ctxq1tqvaCgkFb8cCA/edit?usp=sharing"",""ขอนแก่น!L446"")"),0)</f>
        <v>0</v>
      </c>
      <c r="M551" s="412"/>
      <c r="N551" s="412">
        <f ca="1">IFERROR(__xludf.DUMMYFUNCTION("IMPORTRANGE(""https://docs.google.com/spreadsheets/d/1XL5vhW3sbDhbH9Cz0tuDiY8C3ctxq1tqvaCgkFb8cCA/edit?usp=sharing"",""ขอนแก่น!M446"")"),0)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IFERROR(__xludf.DUMMYFUNCTION("IMPORTRANGE(""https://docs.google.com/spreadsheets/d/1XL5vhW3sbDhbH9Cz0tuDiY8C3ctxq1tqvaCgkFb8cCA/edit?usp=sharing"",""ขอนแก่น!L447"")"),0)</f>
        <v>0</v>
      </c>
      <c r="M552" s="164"/>
      <c r="N552" s="169">
        <f ca="1">IFERROR(__xludf.DUMMYFUNCTION("IMPORTRANGE(""https://docs.google.com/spreadsheets/d/1XL5vhW3sbDhbH9Cz0tuDiY8C3ctxq1tqvaCgkFb8cCA/edit?usp=sharing"",""ขอนแก่น!M447"")"),0)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IFERROR(__xludf.DUMMYFUNCTION("IMPORTRANGE(""https://docs.google.com/spreadsheets/d/1XL5vhW3sbDhbH9Cz0tuDiY8C3ctxq1tqvaCgkFb8cCA/edit?usp=sharing"",""ขอนแก่น!L448"")"),0)</f>
        <v>0</v>
      </c>
      <c r="M553" s="165"/>
      <c r="N553" s="169">
        <f ca="1">IFERROR(__xludf.DUMMYFUNCTION("IMPORTRANGE(""https://docs.google.com/spreadsheets/d/1XL5vhW3sbDhbH9Cz0tuDiY8C3ctxq1tqvaCgkFb8cCA/edit?usp=sharing"",""ขอนแก่น!M448"")"),0)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IFERROR(__xludf.DUMMYFUNCTION("IMPORTRANGE(""https://docs.google.com/spreadsheets/d/1XL5vhW3sbDhbH9Cz0tuDiY8C3ctxq1tqvaCgkFb8cCA/edit?usp=sharing"",""ขอนแก่น!L449"")"),0)</f>
        <v>0</v>
      </c>
      <c r="M554" s="169"/>
      <c r="N554" s="169">
        <f ca="1">IFERROR(__xludf.DUMMYFUNCTION("IMPORTRANGE(""https://docs.google.com/spreadsheets/d/1XL5vhW3sbDhbH9Cz0tuDiY8C3ctxq1tqvaCgkFb8cCA/edit?usp=sharing"",""ขอนแก่น!M449"")"),0)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IFERROR(__xludf.DUMMYFUNCTION("IMPORTRANGE(""https://docs.google.com/spreadsheets/d/1XL5vhW3sbDhbH9Cz0tuDiY8C3ctxq1tqvaCgkFb8cCA/edit?usp=sharing"",""ขอนแก่น!L450"")"),0)</f>
        <v>0</v>
      </c>
      <c r="M555" s="169"/>
      <c r="N555" s="169">
        <f ca="1">IFERROR(__xludf.DUMMYFUNCTION("IMPORTRANGE(""https://docs.google.com/spreadsheets/d/1XL5vhW3sbDhbH9Cz0tuDiY8C3ctxq1tqvaCgkFb8cCA/edit?usp=sharing"",""ขอนแก่น!M450"")"),0)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IFERROR(__xludf.DUMMYFUNCTION("IMPORTRANGE(""https://docs.google.com/spreadsheets/d/1XL5vhW3sbDhbH9Cz0tuDiY8C3ctxq1tqvaCgkFb8cCA/edit?usp=sharing"",""ขอนแก่น!M451"")"),0)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IFERROR(__xludf.DUMMYFUNCTION("IMPORTRANGE(""https://docs.google.com/spreadsheets/d/1XL5vhW3sbDhbH9Cz0tuDiY8C3ctxq1tqvaCgkFb8cCA/edit?usp=sharing"",""ขอนแก่น!M452"")"),0)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IFERROR(__xludf.DUMMYFUNCTION("IMPORTRANGE(""https://docs.google.com/spreadsheets/d/1XL5vhW3sbDhbH9Cz0tuDiY8C3ctxq1tqvaCgkFb8cCA/edit?usp=sharing"",""ขอนแก่น!M453"")"),0)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IFERROR(__xludf.DUMMYFUNCTION("IMPORTRANGE(""https://docs.google.com/spreadsheets/d/1XL5vhW3sbDhbH9Cz0tuDiY8C3ctxq1tqvaCgkFb8cCA/edit?usp=sharing"",""ขอนแก่น!M454"")"),0)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IFERROR(__xludf.DUMMYFUNCTION("IMPORTRANGE(""https://docs.google.com/spreadsheets/d/1XL5vhW3sbDhbH9Cz0tuDiY8C3ctxq1tqvaCgkFb8cCA/edit?usp=sharing"",""ขอนแก่น!I455"")"),0)</f>
        <v>0</v>
      </c>
      <c r="J560" s="162">
        <f ca="1">IFERROR(__xludf.DUMMYFUNCTION("IMPORTRANGE(""https://docs.google.com/spreadsheets/d/1XL5vhW3sbDhbH9Cz0tuDiY8C3ctxq1tqvaCgkFb8cCA/edit?usp=sharing"",""ขอนแก่น!J455"")"),0)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IFERROR(__xludf.DUMMYFUNCTION("IMPORTRANGE(""https://docs.google.com/spreadsheets/d/1XL5vhW3sbDhbH9Cz0tuDiY8C3ctxq1tqvaCgkFb8cCA/edit?usp=sharing"",""ขอนแก่น!I456"")"),0)</f>
        <v>0</v>
      </c>
      <c r="J561" s="204">
        <f ca="1">IFERROR(__xludf.DUMMYFUNCTION("IMPORTRANGE(""https://docs.google.com/spreadsheets/d/1XL5vhW3sbDhbH9Cz0tuDiY8C3ctxq1tqvaCgkFb8cCA/edit?usp=sharing"",""ขอนแก่น!J456"")"),0)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IFERROR(__xludf.DUMMYFUNCTION("IMPORTRANGE(""https://docs.google.com/spreadsheets/d/1XL5vhW3sbDhbH9Cz0tuDiY8C3ctxq1tqvaCgkFb8cCA/edit?usp=sharing"",""ขอนแก่น!I459"")"),3000)</f>
        <v>3000</v>
      </c>
      <c r="J564" s="371">
        <f ca="1">IFERROR(__xludf.DUMMYFUNCTION("IMPORTRANGE(""https://docs.google.com/spreadsheets/d/1XL5vhW3sbDhbH9Cz0tuDiY8C3ctxq1tqvaCgkFb8cCA/edit?usp=sharing"",""ขอนแก่น!J459"")"),1125)</f>
        <v>1125</v>
      </c>
      <c r="K564" s="372">
        <f ca="1">IF(I564&gt;0,J564*100/I564,0)</f>
        <v>37.5</v>
      </c>
      <c r="L564" s="373">
        <f ca="1">IFERROR(__xludf.DUMMYFUNCTION("IMPORTRANGE(""https://docs.google.com/spreadsheets/d/1XL5vhW3sbDhbH9Cz0tuDiY8C3ctxq1tqvaCgkFb8cCA/edit?usp=sharing"",""ขอนแก่น!L459"")"),166400)</f>
        <v>166400</v>
      </c>
      <c r="M564" s="373"/>
      <c r="N564" s="373">
        <f ca="1">IFERROR(__xludf.DUMMYFUNCTION("IMPORTRANGE(""https://docs.google.com/spreadsheets/d/1XL5vhW3sbDhbH9Cz0tuDiY8C3ctxq1tqvaCgkFb8cCA/edit?usp=sharing"",""ขอนแก่น!M459"")"),83289.28)</f>
        <v>83289.279999999999</v>
      </c>
      <c r="O564" s="373">
        <f t="shared" ref="O564:O568" ca="1" si="122">+IF(L564&gt;0,N564*100/L564,0)</f>
        <v>50.053653846153843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IFERROR(__xludf.DUMMYFUNCTION("IMPORTRANGE(""https://docs.google.com/spreadsheets/d/1XL5vhW3sbDhbH9Cz0tuDiY8C3ctxq1tqvaCgkFb8cCA/edit?usp=sharing"",""ขอนแก่น!L460"")"),0)</f>
        <v>0</v>
      </c>
      <c r="M565" s="164"/>
      <c r="N565" s="169">
        <f ca="1">IFERROR(__xludf.DUMMYFUNCTION("IMPORTRANGE(""https://docs.google.com/spreadsheets/d/1XL5vhW3sbDhbH9Cz0tuDiY8C3ctxq1tqvaCgkFb8cCA/edit?usp=sharing"",""ขอนแก่น!M460"")"),0)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IFERROR(__xludf.DUMMYFUNCTION("IMPORTRANGE(""https://docs.google.com/spreadsheets/d/1XL5vhW3sbDhbH9Cz0tuDiY8C3ctxq1tqvaCgkFb8cCA/edit?usp=sharing"",""ขอนแก่น!L461"")"),166400)</f>
        <v>166400</v>
      </c>
      <c r="M566" s="165"/>
      <c r="N566" s="169">
        <f ca="1">IFERROR(__xludf.DUMMYFUNCTION("IMPORTRANGE(""https://docs.google.com/spreadsheets/d/1XL5vhW3sbDhbH9Cz0tuDiY8C3ctxq1tqvaCgkFb8cCA/edit?usp=sharing"",""ขอนแก่น!M461"")"),83289.28)</f>
        <v>83289.279999999999</v>
      </c>
      <c r="O566" s="169">
        <f t="shared" ca="1" si="122"/>
        <v>50.053653846153843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IFERROR(__xludf.DUMMYFUNCTION("IMPORTRANGE(""https://docs.google.com/spreadsheets/d/1XL5vhW3sbDhbH9Cz0tuDiY8C3ctxq1tqvaCgkFb8cCA/edit?usp=sharing"",""ขอนแก่น!L462"")"),0)</f>
        <v>0</v>
      </c>
      <c r="M567" s="169"/>
      <c r="N567" s="169">
        <f ca="1">IFERROR(__xludf.DUMMYFUNCTION("IMPORTRANGE(""https://docs.google.com/spreadsheets/d/1XL5vhW3sbDhbH9Cz0tuDiY8C3ctxq1tqvaCgkFb8cCA/edit?usp=sharing"",""ขอนแก่น!M462"")"),0)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IFERROR(__xludf.DUMMYFUNCTION("IMPORTRANGE(""https://docs.google.com/spreadsheets/d/1XL5vhW3sbDhbH9Cz0tuDiY8C3ctxq1tqvaCgkFb8cCA/edit?usp=sharing"",""ขอนแก่น!L463"")"),166400)</f>
        <v>166400</v>
      </c>
      <c r="M568" s="169"/>
      <c r="N568" s="169">
        <f ca="1">IFERROR(__xludf.DUMMYFUNCTION("IMPORTRANGE(""https://docs.google.com/spreadsheets/d/1XL5vhW3sbDhbH9Cz0tuDiY8C3ctxq1tqvaCgkFb8cCA/edit?usp=sharing"",""ขอนแก่น!M463"")"),83289.28)</f>
        <v>83289.279999999999</v>
      </c>
      <c r="O568" s="169">
        <f t="shared" ca="1" si="122"/>
        <v>50.053653846153843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IFERROR(__xludf.DUMMYFUNCTION("IMPORTRANGE(""https://docs.google.com/spreadsheets/d/1XL5vhW3sbDhbH9Cz0tuDiY8C3ctxq1tqvaCgkFb8cCA/edit?usp=sharing"",""ขอนแก่น!M464"")"),0)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IFERROR(__xludf.DUMMYFUNCTION("IMPORTRANGE(""https://docs.google.com/spreadsheets/d/1XL5vhW3sbDhbH9Cz0tuDiY8C3ctxq1tqvaCgkFb8cCA/edit?usp=sharing"",""ขอนแก่น!M465"")"),0)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IFERROR(__xludf.DUMMYFUNCTION("IMPORTRANGE(""https://docs.google.com/spreadsheets/d/1XL5vhW3sbDhbH9Cz0tuDiY8C3ctxq1tqvaCgkFb8cCA/edit?usp=sharing"",""ขอนแก่น!M466"")"),63466.28)</f>
        <v>63466.28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IFERROR(__xludf.DUMMYFUNCTION("IMPORTRANGE(""https://docs.google.com/spreadsheets/d/1XL5vhW3sbDhbH9Cz0tuDiY8C3ctxq1tqvaCgkFb8cCA/edit?usp=sharing"",""ขอนแก่น!M467"")"),19823)</f>
        <v>19823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IFERROR(__xludf.DUMMYFUNCTION("IMPORTRANGE(""https://docs.google.com/spreadsheets/d/1XL5vhW3sbDhbH9Cz0tuDiY8C3ctxq1tqvaCgkFb8cCA/edit?usp=sharing"",""ขอนแก่น!I468"")"),3000)</f>
        <v>3000</v>
      </c>
      <c r="J573" s="420">
        <f ca="1">IFERROR(__xludf.DUMMYFUNCTION("IMPORTRANGE(""https://docs.google.com/spreadsheets/d/1XL5vhW3sbDhbH9Cz0tuDiY8C3ctxq1tqvaCgkFb8cCA/edit?usp=sharing"",""ขอนแก่น!J468"")"),1125)</f>
        <v>1125</v>
      </c>
      <c r="K573" s="202">
        <f ca="1">IF(I573&gt;0,J573*100/I573,0)</f>
        <v>37.5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IFERROR(__xludf.DUMMYFUNCTION("IMPORTRANGE(""https://docs.google.com/spreadsheets/d/1XL5vhW3sbDhbH9Cz0tuDiY8C3ctxq1tqvaCgkFb8cCA/edit?usp=sharing"",""ขอนแก่น!I470"")"),0)</f>
        <v>0</v>
      </c>
      <c r="J575" s="198">
        <f ca="1">IFERROR(__xludf.DUMMYFUNCTION("IMPORTRANGE(""https://docs.google.com/spreadsheets/d/1XL5vhW3sbDhbH9Cz0tuDiY8C3ctxq1tqvaCgkFb8cCA/edit?usp=sharing"",""ขอนแก่น!J470"")"),4)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IFERROR(__xludf.DUMMYFUNCTION("IMPORTRANGE(""https://docs.google.com/spreadsheets/d/1XL5vhW3sbDhbH9Cz0tuDiY8C3ctxq1tqvaCgkFb8cCA/edit?usp=sharing"",""ขอนแก่น!I471"")"),0)</f>
        <v>0</v>
      </c>
      <c r="J576" s="198">
        <f ca="1">IFERROR(__xludf.DUMMYFUNCTION("IMPORTRANGE(""https://docs.google.com/spreadsheets/d/1XL5vhW3sbDhbH9Cz0tuDiY8C3ctxq1tqvaCgkFb8cCA/edit?usp=sharing"",""ขอนแก่น!J471"")"),374)</f>
        <v>374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IFERROR(__xludf.DUMMYFUNCTION("IMPORTRANGE(""https://docs.google.com/spreadsheets/d/1XL5vhW3sbDhbH9Cz0tuDiY8C3ctxq1tqvaCgkFb8cCA/edit?usp=sharing"",""ขอนแก่น!I472"")"),0)</f>
        <v>0</v>
      </c>
      <c r="J577" s="189">
        <f ca="1">IFERROR(__xludf.DUMMYFUNCTION("IMPORTRANGE(""https://docs.google.com/spreadsheets/d/1XL5vhW3sbDhbH9Cz0tuDiY8C3ctxq1tqvaCgkFb8cCA/edit?usp=sharing"",""ขอนแก่น!J472"")"),750)</f>
        <v>750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IFERROR(__xludf.DUMMYFUNCTION("IMPORTRANGE(""https://docs.google.com/spreadsheets/d/1XL5vhW3sbDhbH9Cz0tuDiY8C3ctxq1tqvaCgkFb8cCA/edit?usp=sharing"",""ขอนแก่น!I473"")"),0)</f>
        <v>0</v>
      </c>
      <c r="J578" s="198">
        <f ca="1">IFERROR(__xludf.DUMMYFUNCTION("IMPORTRANGE(""https://docs.google.com/spreadsheets/d/1XL5vhW3sbDhbH9Cz0tuDiY8C3ctxq1tqvaCgkFb8cCA/edit?usp=sharing"",""ขอนแก่น!J473"")"),1)</f>
        <v>1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IFERROR(__xludf.DUMMYFUNCTION("IMPORTRANGE(""https://docs.google.com/spreadsheets/d/1XL5vhW3sbDhbH9Cz0tuDiY8C3ctxq1tqvaCgkFb8cCA/edit?usp=sharing"",""ขอนแก่น!I474"")"),0)</f>
        <v>0</v>
      </c>
      <c r="J579" s="198">
        <f ca="1">IFERROR(__xludf.DUMMYFUNCTION("IMPORTRANGE(""https://docs.google.com/spreadsheets/d/1XL5vhW3sbDhbH9Cz0tuDiY8C3ctxq1tqvaCgkFb8cCA/edit?usp=sharing"",""ขอนแก่น!J474"")"),0)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IFERROR(__xludf.DUMMYFUNCTION("IMPORTRANGE(""https://docs.google.com/spreadsheets/d/1XL5vhW3sbDhbH9Cz0tuDiY8C3ctxq1tqvaCgkFb8cCA/edit?usp=sharing"",""ขอนแก่น!I475"")"),40)</f>
        <v>40</v>
      </c>
      <c r="J580" s="371">
        <f ca="1">IFERROR(__xludf.DUMMYFUNCTION("IMPORTRANGE(""https://docs.google.com/spreadsheets/d/1XL5vhW3sbDhbH9Cz0tuDiY8C3ctxq1tqvaCgkFb8cCA/edit?usp=sharing"",""ขอนแก่น!J475"")"),0)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IFERROR(__xludf.DUMMYFUNCTION("IMPORTRANGE(""https://docs.google.com/spreadsheets/d/1XL5vhW3sbDhbH9Cz0tuDiY8C3ctxq1tqvaCgkFb8cCA/edit?usp=sharing"",""ขอนแก่น!L475"")"),172040)</f>
        <v>172040</v>
      </c>
      <c r="M580" s="373"/>
      <c r="N580" s="373">
        <f ca="1">IFERROR(__xludf.DUMMYFUNCTION("IMPORTRANGE(""https://docs.google.com/spreadsheets/d/1XL5vhW3sbDhbH9Cz0tuDiY8C3ctxq1tqvaCgkFb8cCA/edit?usp=sharing"",""ขอนแก่น!M475"")"),0)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IFERROR(__xludf.DUMMYFUNCTION("IMPORTRANGE(""https://docs.google.com/spreadsheets/d/1XL5vhW3sbDhbH9Cz0tuDiY8C3ctxq1tqvaCgkFb8cCA/edit?usp=sharing"",""ขอนแก่น!L476"")"),0)</f>
        <v>0</v>
      </c>
      <c r="M581" s="164"/>
      <c r="N581" s="169">
        <f ca="1">IFERROR(__xludf.DUMMYFUNCTION("IMPORTRANGE(""https://docs.google.com/spreadsheets/d/1XL5vhW3sbDhbH9Cz0tuDiY8C3ctxq1tqvaCgkFb8cCA/edit?usp=sharing"",""ขอนแก่น!M476"")"),0)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IFERROR(__xludf.DUMMYFUNCTION("IMPORTRANGE(""https://docs.google.com/spreadsheets/d/1XL5vhW3sbDhbH9Cz0tuDiY8C3ctxq1tqvaCgkFb8cCA/edit?usp=sharing"",""ขอนแก่น!L477"")"),172040)</f>
        <v>172040</v>
      </c>
      <c r="M582" s="165"/>
      <c r="N582" s="169">
        <f ca="1">IFERROR(__xludf.DUMMYFUNCTION("IMPORTRANGE(""https://docs.google.com/spreadsheets/d/1XL5vhW3sbDhbH9Cz0tuDiY8C3ctxq1tqvaCgkFb8cCA/edit?usp=sharing"",""ขอนแก่น!M477"")"),0)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IFERROR(__xludf.DUMMYFUNCTION("IMPORTRANGE(""https://docs.google.com/spreadsheets/d/1XL5vhW3sbDhbH9Cz0tuDiY8C3ctxq1tqvaCgkFb8cCA/edit?usp=sharing"",""ขอนแก่น!L478"")"),0)</f>
        <v>0</v>
      </c>
      <c r="M583" s="169"/>
      <c r="N583" s="169">
        <f ca="1">IFERROR(__xludf.DUMMYFUNCTION("IMPORTRANGE(""https://docs.google.com/spreadsheets/d/1XL5vhW3sbDhbH9Cz0tuDiY8C3ctxq1tqvaCgkFb8cCA/edit?usp=sharing"",""ขอนแก่น!M478"")"),0)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IFERROR(__xludf.DUMMYFUNCTION("IMPORTRANGE(""https://docs.google.com/spreadsheets/d/1XL5vhW3sbDhbH9Cz0tuDiY8C3ctxq1tqvaCgkFb8cCA/edit?usp=sharing"",""ขอนแก่น!L479"")"),172040)</f>
        <v>172040</v>
      </c>
      <c r="M584" s="169"/>
      <c r="N584" s="169">
        <f ca="1">IFERROR(__xludf.DUMMYFUNCTION("IMPORTRANGE(""https://docs.google.com/spreadsheets/d/1XL5vhW3sbDhbH9Cz0tuDiY8C3ctxq1tqvaCgkFb8cCA/edit?usp=sharing"",""ขอนแก่น!M479"")"),0)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IFERROR(__xludf.DUMMYFUNCTION("IMPORTRANGE(""https://docs.google.com/spreadsheets/d/1XL5vhW3sbDhbH9Cz0tuDiY8C3ctxq1tqvaCgkFb8cCA/edit?usp=sharing"",""ขอนแก่น!M480"")"),0)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IFERROR(__xludf.DUMMYFUNCTION("IMPORTRANGE(""https://docs.google.com/spreadsheets/d/1XL5vhW3sbDhbH9Cz0tuDiY8C3ctxq1tqvaCgkFb8cCA/edit?usp=sharing"",""ขอนแก่น!M481"")"),0)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IFERROR(__xludf.DUMMYFUNCTION("IMPORTRANGE(""https://docs.google.com/spreadsheets/d/1XL5vhW3sbDhbH9Cz0tuDiY8C3ctxq1tqvaCgkFb8cCA/edit?usp=sharing"",""ขอนแก่น!M482"")"),0)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IFERROR(__xludf.DUMMYFUNCTION("IMPORTRANGE(""https://docs.google.com/spreadsheets/d/1XL5vhW3sbDhbH9Cz0tuDiY8C3ctxq1tqvaCgkFb8cCA/edit?usp=sharing"",""ขอนแก่น!M483"")"),0)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IFERROR(__xludf.DUMMYFUNCTION("IMPORTRANGE(""https://docs.google.com/spreadsheets/d/1XL5vhW3sbDhbH9Cz0tuDiY8C3ctxq1tqvaCgkFb8cCA/edit?usp=sharing"",""ขอนแก่น!I484"")"),40)</f>
        <v>40</v>
      </c>
      <c r="J589" s="188">
        <f ca="1">IFERROR(__xludf.DUMMYFUNCTION("IMPORTRANGE(""https://docs.google.com/spreadsheets/d/1XL5vhW3sbDhbH9Cz0tuDiY8C3ctxq1tqvaCgkFb8cCA/edit?usp=sharing"",""ขอนแก่น!J484"")"),0)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IFERROR(__xludf.DUMMYFUNCTION("IMPORTRANGE(""https://docs.google.com/spreadsheets/d/1XL5vhW3sbDhbH9Cz0tuDiY8C3ctxq1tqvaCgkFb8cCA/edit?usp=sharing"",""ขอนแก่น!I485"")"),0)</f>
        <v>0</v>
      </c>
      <c r="J590" s="188">
        <f ca="1">IFERROR(__xludf.DUMMYFUNCTION("IMPORTRANGE(""https://docs.google.com/spreadsheets/d/1XL5vhW3sbDhbH9Cz0tuDiY8C3ctxq1tqvaCgkFb8cCA/edit?usp=sharing"",""ขอนแก่น!J485"")"),0)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IFERROR(__xludf.DUMMYFUNCTION("IMPORTRANGE(""https://docs.google.com/spreadsheets/d/1XL5vhW3sbDhbH9Cz0tuDiY8C3ctxq1tqvaCgkFb8cCA/edit?usp=sharing"",""ขอนแก่น!I486"")"),40)</f>
        <v>40</v>
      </c>
      <c r="J591" s="188">
        <f ca="1">IFERROR(__xludf.DUMMYFUNCTION("IMPORTRANGE(""https://docs.google.com/spreadsheets/d/1XL5vhW3sbDhbH9Cz0tuDiY8C3ctxq1tqvaCgkFb8cCA/edit?usp=sharing"",""ขอนแก่น!J486"")"),0)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IFERROR(__xludf.DUMMYFUNCTION("IMPORTRANGE(""https://docs.google.com/spreadsheets/d/1XL5vhW3sbDhbH9Cz0tuDiY8C3ctxq1tqvaCgkFb8cCA/edit?usp=sharing"",""ขอนแก่น!I487"")"),0)</f>
        <v>0</v>
      </c>
      <c r="J592" s="188">
        <f ca="1">IFERROR(__xludf.DUMMYFUNCTION("IMPORTRANGE(""https://docs.google.com/spreadsheets/d/1XL5vhW3sbDhbH9Cz0tuDiY8C3ctxq1tqvaCgkFb8cCA/edit?usp=sharing"",""ขอนแก่น!J487"")"),0)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IFERROR(__xludf.DUMMYFUNCTION("IMPORTRANGE(""https://docs.google.com/spreadsheets/d/1XL5vhW3sbDhbH9Cz0tuDiY8C3ctxq1tqvaCgkFb8cCA/edit?usp=sharing"",""ขอนแก่น!I488"")"),40)</f>
        <v>40</v>
      </c>
      <c r="J593" s="188">
        <f ca="1">IFERROR(__xludf.DUMMYFUNCTION("IMPORTRANGE(""https://docs.google.com/spreadsheets/d/1XL5vhW3sbDhbH9Cz0tuDiY8C3ctxq1tqvaCgkFb8cCA/edit?usp=sharing"",""ขอนแก่น!J488"")"),0)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IFERROR(__xludf.DUMMYFUNCTION("IMPORTRANGE(""https://docs.google.com/spreadsheets/d/1XL5vhW3sbDhbH9Cz0tuDiY8C3ctxq1tqvaCgkFb8cCA/edit?usp=sharing"",""ขอนแก่น!I489"")"),0)</f>
        <v>0</v>
      </c>
      <c r="J594" s="188">
        <f ca="1">IFERROR(__xludf.DUMMYFUNCTION("IMPORTRANGE(""https://docs.google.com/spreadsheets/d/1XL5vhW3sbDhbH9Cz0tuDiY8C3ctxq1tqvaCgkFb8cCA/edit?usp=sharing"",""ขอนแก่น!J489"")"),0)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IFERROR(__xludf.DUMMYFUNCTION("IMPORTRANGE(""https://docs.google.com/spreadsheets/d/1XL5vhW3sbDhbH9Cz0tuDiY8C3ctxq1tqvaCgkFb8cCA/edit?usp=sharing"",""ขอนแก่น!I490"")"),40)</f>
        <v>40</v>
      </c>
      <c r="J595" s="188">
        <f ca="1">IFERROR(__xludf.DUMMYFUNCTION("IMPORTRANGE(""https://docs.google.com/spreadsheets/d/1XL5vhW3sbDhbH9Cz0tuDiY8C3ctxq1tqvaCgkFb8cCA/edit?usp=sharing"",""ขอนแก่น!J490"")"),0)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IFERROR(__xludf.DUMMYFUNCTION("IMPORTRANGE(""https://docs.google.com/spreadsheets/d/1XL5vhW3sbDhbH9Cz0tuDiY8C3ctxq1tqvaCgkFb8cCA/edit?usp=sharing"",""ขอนแก่น!I491"")"),0)</f>
        <v>0</v>
      </c>
      <c r="J596" s="241">
        <f ca="1">IFERROR(__xludf.DUMMYFUNCTION("IMPORTRANGE(""https://docs.google.com/spreadsheets/d/1XL5vhW3sbDhbH9Cz0tuDiY8C3ctxq1tqvaCgkFb8cCA/edit?usp=sharing"",""ขอนแก่น!J491"")"),0)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IFERROR(__xludf.DUMMYFUNCTION("IMPORTRANGE(""https://docs.google.com/spreadsheets/d/1XL5vhW3sbDhbH9Cz0tuDiY8C3ctxq1tqvaCgkFb8cCA/edit?usp=sharing"",""ขอนแก่น!I492"")"),100)</f>
        <v>100</v>
      </c>
      <c r="J597" s="487">
        <f ca="1">IFERROR(__xludf.DUMMYFUNCTION("IMPORTRANGE(""https://docs.google.com/spreadsheets/d/1XL5vhW3sbDhbH9Cz0tuDiY8C3ctxq1tqvaCgkFb8cCA/edit?usp=sharing"",""ขอนแก่น!J492"")"),0)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IFERROR(__xludf.DUMMYFUNCTION("IMPORTRANGE(""https://docs.google.com/spreadsheets/d/1XL5vhW3sbDhbH9Cz0tuDiY8C3ctxq1tqvaCgkFb8cCA/edit?usp=sharing"",""ขอนแก่น!L492"")"),10500)</f>
        <v>10500</v>
      </c>
      <c r="M597" s="412"/>
      <c r="N597" s="412">
        <f ca="1">IFERROR(__xludf.DUMMYFUNCTION("IMPORTRANGE(""https://docs.google.com/spreadsheets/d/1XL5vhW3sbDhbH9Cz0tuDiY8C3ctxq1tqvaCgkFb8cCA/edit?usp=sharing"",""ขอนแก่น!M492"")"),5450)</f>
        <v>5450</v>
      </c>
      <c r="O597" s="412">
        <f t="shared" ref="O597:O601" ca="1" si="126">+IF(L597&gt;0,N597*100/L597,0)</f>
        <v>51.904761904761905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IFERROR(__xludf.DUMMYFUNCTION("IMPORTRANGE(""https://docs.google.com/spreadsheets/d/1XL5vhW3sbDhbH9Cz0tuDiY8C3ctxq1tqvaCgkFb8cCA/edit?usp=sharing"",""ขอนแก่น!L493"")"),0)</f>
        <v>0</v>
      </c>
      <c r="M598" s="164"/>
      <c r="N598" s="169">
        <f ca="1">IFERROR(__xludf.DUMMYFUNCTION("IMPORTRANGE(""https://docs.google.com/spreadsheets/d/1XL5vhW3sbDhbH9Cz0tuDiY8C3ctxq1tqvaCgkFb8cCA/edit?usp=sharing"",""ขอนแก่น!M493"")"),0)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IFERROR(__xludf.DUMMYFUNCTION("IMPORTRANGE(""https://docs.google.com/spreadsheets/d/1XL5vhW3sbDhbH9Cz0tuDiY8C3ctxq1tqvaCgkFb8cCA/edit?usp=sharing"",""ขอนแก่น!L494"")"),10500)</f>
        <v>10500</v>
      </c>
      <c r="M599" s="165"/>
      <c r="N599" s="169">
        <f ca="1">IFERROR(__xludf.DUMMYFUNCTION("IMPORTRANGE(""https://docs.google.com/spreadsheets/d/1XL5vhW3sbDhbH9Cz0tuDiY8C3ctxq1tqvaCgkFb8cCA/edit?usp=sharing"",""ขอนแก่น!M494"")"),5450)</f>
        <v>5450</v>
      </c>
      <c r="O599" s="169">
        <f t="shared" ca="1" si="126"/>
        <v>51.904761904761905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IFERROR(__xludf.DUMMYFUNCTION("IMPORTRANGE(""https://docs.google.com/spreadsheets/d/1XL5vhW3sbDhbH9Cz0tuDiY8C3ctxq1tqvaCgkFb8cCA/edit?usp=sharing"",""ขอนแก่น!L495"")"),0)</f>
        <v>0</v>
      </c>
      <c r="M600" s="169"/>
      <c r="N600" s="169">
        <f ca="1">IFERROR(__xludf.DUMMYFUNCTION("IMPORTRANGE(""https://docs.google.com/spreadsheets/d/1XL5vhW3sbDhbH9Cz0tuDiY8C3ctxq1tqvaCgkFb8cCA/edit?usp=sharing"",""ขอนแก่น!M495"")"),0)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IFERROR(__xludf.DUMMYFUNCTION("IMPORTRANGE(""https://docs.google.com/spreadsheets/d/1XL5vhW3sbDhbH9Cz0tuDiY8C3ctxq1tqvaCgkFb8cCA/edit?usp=sharing"",""ขอนแก่น!L496"")"),10500)</f>
        <v>10500</v>
      </c>
      <c r="M601" s="169"/>
      <c r="N601" s="169">
        <f ca="1">IFERROR(__xludf.DUMMYFUNCTION("IMPORTRANGE(""https://docs.google.com/spreadsheets/d/1XL5vhW3sbDhbH9Cz0tuDiY8C3ctxq1tqvaCgkFb8cCA/edit?usp=sharing"",""ขอนแก่น!M496"")"),5450)</f>
        <v>5450</v>
      </c>
      <c r="O601" s="169">
        <f t="shared" ca="1" si="126"/>
        <v>51.904761904761905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IFERROR(__xludf.DUMMYFUNCTION("IMPORTRANGE(""https://docs.google.com/spreadsheets/d/1XL5vhW3sbDhbH9Cz0tuDiY8C3ctxq1tqvaCgkFb8cCA/edit?usp=sharing"",""ขอนแก่น!M497"")"),0)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IFERROR(__xludf.DUMMYFUNCTION("IMPORTRANGE(""https://docs.google.com/spreadsheets/d/1XL5vhW3sbDhbH9Cz0tuDiY8C3ctxq1tqvaCgkFb8cCA/edit?usp=sharing"",""ขอนแก่น!M498"")"),0)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IFERROR(__xludf.DUMMYFUNCTION("IMPORTRANGE(""https://docs.google.com/spreadsheets/d/1XL5vhW3sbDhbH9Cz0tuDiY8C3ctxq1tqvaCgkFb8cCA/edit?usp=sharing"",""ขอนแก่น!M499"")"),0)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IFERROR(__xludf.DUMMYFUNCTION("IMPORTRANGE(""https://docs.google.com/spreadsheets/d/1XL5vhW3sbDhbH9Cz0tuDiY8C3ctxq1tqvaCgkFb8cCA/edit?usp=sharing"",""ขอนแก่น!M500"")"),5450)</f>
        <v>5450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IFERROR(__xludf.DUMMYFUNCTION("IMPORTRANGE(""https://docs.google.com/spreadsheets/d/1XL5vhW3sbDhbH9Cz0tuDiY8C3ctxq1tqvaCgkFb8cCA/edit?usp=sharing"",""ขอนแก่น!J502"")"),0)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IFERROR(__xludf.DUMMYFUNCTION("IMPORTRANGE(""https://docs.google.com/spreadsheets/d/1XL5vhW3sbDhbH9Cz0tuDiY8C3ctxq1tqvaCgkFb8cCA/edit?usp=sharing"",""ขอนแก่น!J503"")"),1)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IFERROR(__xludf.DUMMYFUNCTION("IMPORTRANGE(""https://docs.google.com/spreadsheets/d/1XL5vhW3sbDhbH9Cz0tuDiY8C3ctxq1tqvaCgkFb8cCA/edit?usp=sharing"",""ขอนแก่น!J166"")"),0)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IFERROR(__xludf.DUMMYFUNCTION("IMPORTRANGE(""https://docs.google.com/spreadsheets/d/1XL5vhW3sbDhbH9Cz0tuDiY8C3ctxq1tqvaCgkFb8cCA/edit?usp=sharing"",""ขอนแก่น!J166"")"),0)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IFERROR(__xludf.DUMMYFUNCTION("IMPORTRANGE(""https://docs.google.com/spreadsheets/d/1XL5vhW3sbDhbH9Cz0tuDiY8C3ctxq1tqvaCgkFb8cCA/edit?usp=sharing"",""ขอนแก่น!I506"")"),100)</f>
        <v>100</v>
      </c>
      <c r="J611" s="162">
        <f ca="1">IFERROR(__xludf.DUMMYFUNCTION("IMPORTRANGE(""https://docs.google.com/spreadsheets/d/1XL5vhW3sbDhbH9Cz0tuDiY8C3ctxq1tqvaCgkFb8cCA/edit?usp=sharing"",""ขอนแก่น!J506"")"),0)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IFERROR(__xludf.DUMMYFUNCTION("IMPORTRANGE(""https://docs.google.com/spreadsheets/d/1XL5vhW3sbDhbH9Cz0tuDiY8C3ctxq1tqvaCgkFb8cCA/edit?usp=sharing"",""ขอนแก่น!I507"")"),0)</f>
        <v>0</v>
      </c>
      <c r="J612" s="198">
        <f ca="1">IFERROR(__xludf.DUMMYFUNCTION("IMPORTRANGE(""https://docs.google.com/spreadsheets/d/1XL5vhW3sbDhbH9Cz0tuDiY8C3ctxq1tqvaCgkFb8cCA/edit?usp=sharing"",""ขอนแก่น!J507"")"),0)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IFERROR(__xludf.DUMMYFUNCTION("IMPORTRANGE(""https://docs.google.com/spreadsheets/d/1XL5vhW3sbDhbH9Cz0tuDiY8C3ctxq1tqvaCgkFb8cCA/edit?usp=sharing"",""ขอนแก่น!I508"")"),0)</f>
        <v>0</v>
      </c>
      <c r="J613" s="198">
        <f ca="1">IFERROR(__xludf.DUMMYFUNCTION("IMPORTRANGE(""https://docs.google.com/spreadsheets/d/1XL5vhW3sbDhbH9Cz0tuDiY8C3ctxq1tqvaCgkFb8cCA/edit?usp=sharing"",""ขอนแก่น!J508"")"),0)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IFERROR(__xludf.DUMMYFUNCTION("IMPORTRANGE(""https://docs.google.com/spreadsheets/d/1XL5vhW3sbDhbH9Cz0tuDiY8C3ctxq1tqvaCgkFb8cCA/edit?usp=sharing"",""ขอนแก่น!I509"")"),0)</f>
        <v>0</v>
      </c>
      <c r="J614" s="198">
        <f ca="1">IFERROR(__xludf.DUMMYFUNCTION("IMPORTRANGE(""https://docs.google.com/spreadsheets/d/1XL5vhW3sbDhbH9Cz0tuDiY8C3ctxq1tqvaCgkFb8cCA/edit?usp=sharing"",""ขอนแก่น!J509"")"),0)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IFERROR(__xludf.DUMMYFUNCTION("IMPORTRANGE(""https://docs.google.com/spreadsheets/d/1XL5vhW3sbDhbH9Cz0tuDiY8C3ctxq1tqvaCgkFb8cCA/edit?usp=sharing"",""ขอนแก่น!I510"")"),0)</f>
        <v>0</v>
      </c>
      <c r="J615" s="198">
        <f ca="1">IFERROR(__xludf.DUMMYFUNCTION("IMPORTRANGE(""https://docs.google.com/spreadsheets/d/1XL5vhW3sbDhbH9Cz0tuDiY8C3ctxq1tqvaCgkFb8cCA/edit?usp=sharing"",""ขอนแก่น!J510"")"),0)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IFERROR(__xludf.DUMMYFUNCTION("IMPORTRANGE(""https://docs.google.com/spreadsheets/d/1XL5vhW3sbDhbH9Cz0tuDiY8C3ctxq1tqvaCgkFb8cCA/edit?usp=sharing"",""ขอนแก่น!I511"")"),0)</f>
        <v>0</v>
      </c>
      <c r="J616" s="198">
        <f ca="1">IFERROR(__xludf.DUMMYFUNCTION("IMPORTRANGE(""https://docs.google.com/spreadsheets/d/1XL5vhW3sbDhbH9Cz0tuDiY8C3ctxq1tqvaCgkFb8cCA/edit?usp=sharing"",""ขอนแก่น!J511"")"),0)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IFERROR(__xludf.DUMMYFUNCTION("IMPORTRANGE(""https://docs.google.com/spreadsheets/d/1XL5vhW3sbDhbH9Cz0tuDiY8C3ctxq1tqvaCgkFb8cCA/edit?usp=sharing"",""ขอนแก่น!I512"")"),0)</f>
        <v>0</v>
      </c>
      <c r="J617" s="188">
        <f ca="1">IFERROR(__xludf.DUMMYFUNCTION("IMPORTRANGE(""https://docs.google.com/spreadsheets/d/1XL5vhW3sbDhbH9Cz0tuDiY8C3ctxq1tqvaCgkFb8cCA/edit?usp=sharing"",""ขอนแก่น!J512"")"),0)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IFERROR(__xludf.DUMMYFUNCTION("IMPORTRANGE(""https://docs.google.com/spreadsheets/d/1XL5vhW3sbDhbH9Cz0tuDiY8C3ctxq1tqvaCgkFb8cCA/edit?usp=sharing"",""ขอนแก่น!I513"")"),0)</f>
        <v>0</v>
      </c>
      <c r="J618" s="189">
        <f ca="1">IFERROR(__xludf.DUMMYFUNCTION("IMPORTRANGE(""https://docs.google.com/spreadsheets/d/1XL5vhW3sbDhbH9Cz0tuDiY8C3ctxq1tqvaCgkFb8cCA/edit?usp=sharing"",""ขอนแก่น!J513"")"),0)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IFERROR(__xludf.DUMMYFUNCTION("IMPORTRANGE(""https://docs.google.com/spreadsheets/d/1XL5vhW3sbDhbH9Cz0tuDiY8C3ctxq1tqvaCgkFb8cCA/edit?usp=sharing"",""ขอนแก่น!I514"")"),0)</f>
        <v>0</v>
      </c>
      <c r="J619" s="189">
        <f ca="1">IFERROR(__xludf.DUMMYFUNCTION("IMPORTRANGE(""https://docs.google.com/spreadsheets/d/1XL5vhW3sbDhbH9Cz0tuDiY8C3ctxq1tqvaCgkFb8cCA/edit?usp=sharing"",""ขอนแก่น!J514"")"),0)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IFERROR(__xludf.DUMMYFUNCTION("IMPORTRANGE(""https://docs.google.com/spreadsheets/d/1XL5vhW3sbDhbH9Cz0tuDiY8C3ctxq1tqvaCgkFb8cCA/edit?usp=sharing"",""ขอนแก่น!I515"")"),0)</f>
        <v>0</v>
      </c>
      <c r="J620" s="203">
        <f ca="1">IFERROR(__xludf.DUMMYFUNCTION("IMPORTRANGE(""https://docs.google.com/spreadsheets/d/1XL5vhW3sbDhbH9Cz0tuDiY8C3ctxq1tqvaCgkFb8cCA/edit?usp=sharing"",""ขอนแก่น!J515"")"),0)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IFERROR(__xludf.DUMMYFUNCTION("IMPORTRANGE(""https://docs.google.com/spreadsheets/d/1XL5vhW3sbDhbH9Cz0tuDiY8C3ctxq1tqvaCgkFb8cCA/edit?usp=sharing"",""ขอนแก่น!I516"")"),0)</f>
        <v>0</v>
      </c>
      <c r="J621" s="203">
        <f ca="1">IFERROR(__xludf.DUMMYFUNCTION("IMPORTRANGE(""https://docs.google.com/spreadsheets/d/1XL5vhW3sbDhbH9Cz0tuDiY8C3ctxq1tqvaCgkFb8cCA/edit?usp=sharing"",""ขอนแก่น!J516"")"),0)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IFERROR(__xludf.DUMMYFUNCTION("IMPORTRANGE(""https://docs.google.com/spreadsheets/d/1XL5vhW3sbDhbH9Cz0tuDiY8C3ctxq1tqvaCgkFb8cCA/edit?usp=sharing"",""ขอนแก่น!I517"")"),0)</f>
        <v>0</v>
      </c>
      <c r="J622" s="189">
        <f ca="1">IFERROR(__xludf.DUMMYFUNCTION("IMPORTRANGE(""https://docs.google.com/spreadsheets/d/1XL5vhW3sbDhbH9Cz0tuDiY8C3ctxq1tqvaCgkFb8cCA/edit?usp=sharing"",""ขอนแก่น!J517"")"),0)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IFERROR(__xludf.DUMMYFUNCTION("IMPORTRANGE(""https://docs.google.com/spreadsheets/d/1XL5vhW3sbDhbH9Cz0tuDiY8C3ctxq1tqvaCgkFb8cCA/edit?usp=sharing"",""ขอนแก่น!I518"")"),0)</f>
        <v>0</v>
      </c>
      <c r="J623" s="189">
        <f ca="1">IFERROR(__xludf.DUMMYFUNCTION("IMPORTRANGE(""https://docs.google.com/spreadsheets/d/1XL5vhW3sbDhbH9Cz0tuDiY8C3ctxq1tqvaCgkFb8cCA/edit?usp=sharing"",""ขอนแก่น!J518"")"),0)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IFERROR(__xludf.DUMMYFUNCTION("IMPORTRANGE(""https://docs.google.com/spreadsheets/d/1XL5vhW3sbDhbH9Cz0tuDiY8C3ctxq1tqvaCgkFb8cCA/edit?usp=sharing"",""ขอนแก่น!I519"")"),0)</f>
        <v>0</v>
      </c>
      <c r="J624" s="188">
        <f ca="1">IFERROR(__xludf.DUMMYFUNCTION("IMPORTRANGE(""https://docs.google.com/spreadsheets/d/1XL5vhW3sbDhbH9Cz0tuDiY8C3ctxq1tqvaCgkFb8cCA/edit?usp=sharing"",""ขอนแก่น!J519"")"),0)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IFERROR(__xludf.DUMMYFUNCTION("IMPORTRANGE(""https://docs.google.com/spreadsheets/d/1XL5vhW3sbDhbH9Cz0tuDiY8C3ctxq1tqvaCgkFb8cCA/edit?usp=sharing"",""ขอนแก่น!I520"")"),0)</f>
        <v>0</v>
      </c>
      <c r="J625" s="189">
        <f ca="1">IFERROR(__xludf.DUMMYFUNCTION("IMPORTRANGE(""https://docs.google.com/spreadsheets/d/1XL5vhW3sbDhbH9Cz0tuDiY8C3ctxq1tqvaCgkFb8cCA/edit?usp=sharing"",""ขอนแก่น!J520"")"),0)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IFERROR(__xludf.DUMMYFUNCTION("IMPORTRANGE(""https://docs.google.com/spreadsheets/d/1XL5vhW3sbDhbH9Cz0tuDiY8C3ctxq1tqvaCgkFb8cCA/edit?usp=sharing"",""ขอนแก่น!I521"")"),0)</f>
        <v>0</v>
      </c>
      <c r="J626" s="189">
        <f ca="1">IFERROR(__xludf.DUMMYFUNCTION("IMPORTRANGE(""https://docs.google.com/spreadsheets/d/1XL5vhW3sbDhbH9Cz0tuDiY8C3ctxq1tqvaCgkFb8cCA/edit?usp=sharing"",""ขอนแก่น!J521"")"),0)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IFERROR(__xludf.DUMMYFUNCTION("IMPORTRANGE(""https://docs.google.com/spreadsheets/d/1XL5vhW3sbDhbH9Cz0tuDiY8C3ctxq1tqvaCgkFb8cCA/edit?usp=sharing"",""ขอนแก่น!I523"")"),3622257.64)</f>
        <v>3622257.64</v>
      </c>
      <c r="J628" s="341">
        <f ca="1">IFERROR(__xludf.DUMMYFUNCTION("IMPORTRANGE(""https://docs.google.com/spreadsheets/d/1XL5vhW3sbDhbH9Cz0tuDiY8C3ctxq1tqvaCgkFb8cCA/edit?usp=sharing"",""ขอนแก่น!J523"")"),1891134.42)</f>
        <v>1891134.42</v>
      </c>
      <c r="K628" s="342">
        <f t="shared" ref="K628:K635" ca="1" si="129">IF(I628&gt;0,J628*100/I628,0)</f>
        <v>52.208721961588573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IFERROR(__xludf.DUMMYFUNCTION("IMPORTRANGE(""https://docs.google.com/spreadsheets/d/1XL5vhW3sbDhbH9Cz0tuDiY8C3ctxq1tqvaCgkFb8cCA/edit?usp=sharing"",""ขอนแก่น!I524"")"),242)</f>
        <v>242</v>
      </c>
      <c r="J629" s="341">
        <f ca="1">IFERROR(__xludf.DUMMYFUNCTION("IMPORTRANGE(""https://docs.google.com/spreadsheets/d/1XL5vhW3sbDhbH9Cz0tuDiY8C3ctxq1tqvaCgkFb8cCA/edit?usp=sharing"",""ขอนแก่น!J524"")"),115)</f>
        <v>115</v>
      </c>
      <c r="K629" s="342">
        <f t="shared" ca="1" si="129"/>
        <v>47.52066115702479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IFERROR(__xludf.DUMMYFUNCTION("IMPORTRANGE(""https://docs.google.com/spreadsheets/d/1XL5vhW3sbDhbH9Cz0tuDiY8C3ctxq1tqvaCgkFb8cCA/edit?usp=sharing"",""ขอนแก่น!I525"")"),21267711.92)</f>
        <v>21267711.920000002</v>
      </c>
      <c r="J630" s="341">
        <f ca="1">IFERROR(__xludf.DUMMYFUNCTION("IMPORTRANGE(""https://docs.google.com/spreadsheets/d/1XL5vhW3sbDhbH9Cz0tuDiY8C3ctxq1tqvaCgkFb8cCA/edit?usp=sharing"",""ขอนแก่น!J525"")"),1201234.88)</f>
        <v>1201234.8799999999</v>
      </c>
      <c r="K630" s="342">
        <f t="shared" ca="1" si="129"/>
        <v>5.6481622683179538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IFERROR(__xludf.DUMMYFUNCTION("IMPORTRANGE(""https://docs.google.com/spreadsheets/d/1XL5vhW3sbDhbH9Cz0tuDiY8C3ctxq1tqvaCgkFb8cCA/edit?usp=sharing"",""ขอนแก่น!I526"")"),613)</f>
        <v>613</v>
      </c>
      <c r="J631" s="341">
        <f ca="1">IFERROR(__xludf.DUMMYFUNCTION("IMPORTRANGE(""https://docs.google.com/spreadsheets/d/1XL5vhW3sbDhbH9Cz0tuDiY8C3ctxq1tqvaCgkFb8cCA/edit?usp=sharing"",""ขอนแก่น!J526"")"),173)</f>
        <v>173</v>
      </c>
      <c r="K631" s="342">
        <f t="shared" ca="1" si="129"/>
        <v>28.221859706362153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IFERROR(__xludf.DUMMYFUNCTION("IMPORTRANGE(""https://docs.google.com/spreadsheets/d/1XL5vhW3sbDhbH9Cz0tuDiY8C3ctxq1tqvaCgkFb8cCA/edit?usp=sharing"",""ขอนแก่น!I527"")"),490580.36)</f>
        <v>490580.36</v>
      </c>
      <c r="J632" s="341">
        <f ca="1">IFERROR(__xludf.DUMMYFUNCTION("IMPORTRANGE(""https://docs.google.com/spreadsheets/d/1XL5vhW3sbDhbH9Cz0tuDiY8C3ctxq1tqvaCgkFb8cCA/edit?usp=sharing"",""ขอนแก่น!J527"")"),154717.23)</f>
        <v>154717.23000000001</v>
      </c>
      <c r="K632" s="342">
        <f t="shared" ca="1" si="129"/>
        <v>31.537591517116589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IFERROR(__xludf.DUMMYFUNCTION("IMPORTRANGE(""https://docs.google.com/spreadsheets/d/1XL5vhW3sbDhbH9Cz0tuDiY8C3ctxq1tqvaCgkFb8cCA/edit?usp=sharing"",""ขอนแก่น!I528"")"),60)</f>
        <v>60</v>
      </c>
      <c r="J633" s="341">
        <f ca="1">IFERROR(__xludf.DUMMYFUNCTION("IMPORTRANGE(""https://docs.google.com/spreadsheets/d/1XL5vhW3sbDhbH9Cz0tuDiY8C3ctxq1tqvaCgkFb8cCA/edit?usp=sharing"",""ขอนแก่น!J528"")"),43)</f>
        <v>43</v>
      </c>
      <c r="K633" s="342">
        <f t="shared" ca="1" si="129"/>
        <v>71.666666666666671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IFERROR(__xludf.DUMMYFUNCTION("IMPORTRANGE(""https://docs.google.com/spreadsheets/d/1XL5vhW3sbDhbH9Cz0tuDiY8C3ctxq1tqvaCgkFb8cCA/edit?usp=sharing"",""ขอนแก่น!I529"")"),6500000)</f>
        <v>6500000</v>
      </c>
      <c r="J634" s="341">
        <f ca="1">IFERROR(__xludf.DUMMYFUNCTION("IMPORTRANGE(""https://docs.google.com/spreadsheets/d/1XL5vhW3sbDhbH9Cz0tuDiY8C3ctxq1tqvaCgkFb8cCA/edit?usp=sharing"",""ขอนแก่น!J529"")"),3550000)</f>
        <v>3550000</v>
      </c>
      <c r="K634" s="342">
        <f t="shared" ca="1" si="129"/>
        <v>54.615384615384613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IFERROR(__xludf.DUMMYFUNCTION("IMPORTRANGE(""https://docs.google.com/spreadsheets/d/1XL5vhW3sbDhbH9Cz0tuDiY8C3ctxq1tqvaCgkFb8cCA/edit?usp=sharing"",""ขอนแก่น!I530"")"),130)</f>
        <v>130</v>
      </c>
      <c r="J635" s="504">
        <f ca="1">IFERROR(__xludf.DUMMYFUNCTION("IMPORTRANGE(""https://docs.google.com/spreadsheets/d/1XL5vhW3sbDhbH9Cz0tuDiY8C3ctxq1tqvaCgkFb8cCA/edit?usp=sharing"",""ขอนแก่น!J530"")"),71)</f>
        <v>71</v>
      </c>
      <c r="K635" s="486">
        <f t="shared" ca="1" si="129"/>
        <v>54.615384615384613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12" sqref="J12"/>
      <selection pane="bottomLeft" activeCell="G572" sqref="G572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56" t="s">
        <v>0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</row>
    <row r="2" spans="1:16" ht="18" customHeight="1" x14ac:dyDescent="0.35">
      <c r="A2" s="556" t="s">
        <v>242</v>
      </c>
      <c r="B2" s="556"/>
      <c r="C2" s="556"/>
      <c r="D2" s="556"/>
      <c r="E2" s="556"/>
      <c r="F2" s="556"/>
      <c r="G2" s="556"/>
      <c r="H2" s="556"/>
      <c r="I2" s="556"/>
      <c r="J2" s="556"/>
      <c r="K2" s="556"/>
      <c r="L2" s="556"/>
      <c r="M2" s="556"/>
      <c r="N2" s="556"/>
      <c r="O2" s="556"/>
      <c r="P2" s="556"/>
    </row>
    <row r="3" spans="1:16" ht="18" customHeight="1" x14ac:dyDescent="0.35">
      <c r="A3" s="556" t="s">
        <v>278</v>
      </c>
      <c r="B3" s="556"/>
      <c r="C3" s="556"/>
      <c r="D3" s="556"/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6"/>
      <c r="P3" s="55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64" t="s">
        <v>2</v>
      </c>
      <c r="B5" s="565"/>
      <c r="C5" s="565"/>
      <c r="D5" s="565"/>
      <c r="E5" s="565"/>
      <c r="F5" s="565"/>
      <c r="G5" s="566"/>
      <c r="H5" s="557" t="s">
        <v>3</v>
      </c>
      <c r="I5" s="559" t="s">
        <v>4</v>
      </c>
      <c r="J5" s="560"/>
      <c r="K5" s="561"/>
      <c r="L5" s="562" t="s">
        <v>5</v>
      </c>
      <c r="M5" s="561"/>
      <c r="N5" s="563" t="s">
        <v>6</v>
      </c>
      <c r="O5" s="560"/>
      <c r="P5" s="561"/>
    </row>
    <row r="6" spans="1:16" ht="21.75" customHeight="1" x14ac:dyDescent="0.35">
      <c r="A6" s="567"/>
      <c r="B6" s="568"/>
      <c r="C6" s="568"/>
      <c r="D6" s="568"/>
      <c r="E6" s="568"/>
      <c r="F6" s="568"/>
      <c r="G6" s="569"/>
      <c r="H6" s="55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0" t="s">
        <v>15</v>
      </c>
      <c r="B7" s="560"/>
      <c r="C7" s="560"/>
      <c r="D7" s="560"/>
      <c r="E7" s="560"/>
      <c r="F7" s="560"/>
      <c r="G7" s="56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1" t="s">
        <v>17</v>
      </c>
      <c r="E8" s="555"/>
      <c r="F8" s="555"/>
      <c r="G8" s="555"/>
      <c r="H8" s="20" t="s">
        <v>12</v>
      </c>
      <c r="I8" s="21"/>
      <c r="J8" s="21"/>
      <c r="K8" s="22"/>
      <c r="L8" s="23">
        <f t="shared" ref="L8:N8" ca="1" si="0">L9+L10</f>
        <v>7993372</v>
      </c>
      <c r="M8" s="23">
        <f t="shared" ca="1" si="0"/>
        <v>4758292</v>
      </c>
      <c r="N8" s="23">
        <f t="shared" ca="1" si="0"/>
        <v>4188188.12</v>
      </c>
      <c r="O8" s="22">
        <f t="shared" ref="O8:O16" ca="1" si="1">IF(L8&gt;0,N8*100/L8,0)</f>
        <v>52.395761388310213</v>
      </c>
      <c r="P8" s="22">
        <f t="shared" ref="P8:P16" ca="1" si="2">IF(M8&gt;0,N8*100/M8,0)</f>
        <v>88.018728568990724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7993372</v>
      </c>
      <c r="M10" s="30">
        <f t="shared" ca="1" si="4"/>
        <v>4758292</v>
      </c>
      <c r="N10" s="30">
        <f t="shared" ca="1" si="4"/>
        <v>4188188.12</v>
      </c>
      <c r="O10" s="29">
        <f t="shared" ca="1" si="1"/>
        <v>52.395761388310213</v>
      </c>
      <c r="P10" s="29">
        <f t="shared" ca="1" si="2"/>
        <v>88.018728568990724</v>
      </c>
    </row>
    <row r="11" spans="1:16" ht="21.75" customHeight="1" x14ac:dyDescent="0.45">
      <c r="A11" s="31"/>
      <c r="B11" s="32"/>
      <c r="C11" s="33" t="s">
        <v>16</v>
      </c>
      <c r="D11" s="572" t="s">
        <v>20</v>
      </c>
      <c r="E11" s="553"/>
      <c r="F11" s="55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6527373</v>
      </c>
      <c r="M12" s="38">
        <f t="shared" ca="1" si="6"/>
        <v>3292293</v>
      </c>
      <c r="N12" s="38">
        <f t="shared" ca="1" si="6"/>
        <v>2722189.12</v>
      </c>
      <c r="O12" s="38">
        <f t="shared" ca="1" si="1"/>
        <v>41.704206577439344</v>
      </c>
      <c r="P12" s="38">
        <f t="shared" ca="1" si="2"/>
        <v>82.683683378119753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2863900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3663473</v>
      </c>
      <c r="M14" s="38">
        <f t="shared" si="8"/>
        <v>0</v>
      </c>
      <c r="N14" s="38">
        <f t="shared" ca="1" si="8"/>
        <v>435198.1</v>
      </c>
      <c r="O14" s="38">
        <f t="shared" ca="1" si="1"/>
        <v>11.879386036146574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2" t="s">
        <v>23</v>
      </c>
      <c r="E15" s="55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1465999</v>
      </c>
      <c r="M16" s="38">
        <f t="shared" ca="1" si="10"/>
        <v>1465999</v>
      </c>
      <c r="N16" s="38">
        <f t="shared" ca="1" si="10"/>
        <v>1465999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70" t="s">
        <v>24</v>
      </c>
      <c r="B17" s="560"/>
      <c r="C17" s="560"/>
      <c r="D17" s="560"/>
      <c r="E17" s="560"/>
      <c r="F17" s="560"/>
      <c r="G17" s="56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1" t="s">
        <v>17</v>
      </c>
      <c r="E18" s="555"/>
      <c r="F18" s="555"/>
      <c r="G18" s="555"/>
      <c r="H18" s="20" t="s">
        <v>12</v>
      </c>
      <c r="I18" s="21"/>
      <c r="J18" s="21"/>
      <c r="K18" s="22"/>
      <c r="L18" s="23">
        <f t="shared" ref="L18:N18" ca="1" si="11">L19+L20</f>
        <v>5925889</v>
      </c>
      <c r="M18" s="23">
        <f t="shared" ca="1" si="11"/>
        <v>4758292</v>
      </c>
      <c r="N18" s="23">
        <f t="shared" ca="1" si="11"/>
        <v>3752990.02</v>
      </c>
      <c r="O18" s="22">
        <f t="shared" ref="O18:O20" ca="1" si="12">IF(L18&gt;0,N18*100/L18,0)</f>
        <v>63.332101225655762</v>
      </c>
      <c r="P18" s="22">
        <f t="shared" ref="P18:P26" ca="1" si="13">IF(M18&gt;0,N18*100/M18,0)</f>
        <v>78.872629506554034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5925889</v>
      </c>
      <c r="M20" s="30">
        <f t="shared" ca="1" si="15"/>
        <v>4758292</v>
      </c>
      <c r="N20" s="30">
        <f t="shared" ca="1" si="15"/>
        <v>3752990.02</v>
      </c>
      <c r="O20" s="29">
        <f t="shared" ca="1" si="12"/>
        <v>63.332101225655762</v>
      </c>
      <c r="P20" s="29">
        <f t="shared" ca="1" si="13"/>
        <v>78.872629506554034</v>
      </c>
    </row>
    <row r="21" spans="1:16" ht="21.75" customHeight="1" x14ac:dyDescent="0.45">
      <c r="A21" s="31"/>
      <c r="B21" s="32"/>
      <c r="C21" s="33" t="s">
        <v>16</v>
      </c>
      <c r="D21" s="572" t="s">
        <v>20</v>
      </c>
      <c r="E21" s="553"/>
      <c r="F21" s="55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4459890</v>
      </c>
      <c r="M22" s="41">
        <f t="shared" ca="1" si="18"/>
        <v>3292293</v>
      </c>
      <c r="N22" s="38">
        <f t="shared" ca="1" si="18"/>
        <v>2286991.02</v>
      </c>
      <c r="O22" s="38">
        <f t="shared" ca="1" si="17"/>
        <v>51.279090291464591</v>
      </c>
      <c r="P22" s="38">
        <f t="shared" ca="1" si="13"/>
        <v>69.464990509653916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2863900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1595990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2" t="s">
        <v>23</v>
      </c>
      <c r="E25" s="55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1465999</v>
      </c>
      <c r="M26" s="49">
        <f t="shared" ca="1" si="22"/>
        <v>1465999</v>
      </c>
      <c r="N26" s="49">
        <f t="shared" ca="1" si="22"/>
        <v>1465999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70" t="s">
        <v>25</v>
      </c>
      <c r="B27" s="560"/>
      <c r="C27" s="560"/>
      <c r="D27" s="560"/>
      <c r="E27" s="560"/>
      <c r="F27" s="560"/>
      <c r="G27" s="56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1" t="s">
        <v>17</v>
      </c>
      <c r="E28" s="555"/>
      <c r="F28" s="555"/>
      <c r="G28" s="555"/>
      <c r="H28" s="20" t="s">
        <v>12</v>
      </c>
      <c r="I28" s="21"/>
      <c r="J28" s="21"/>
      <c r="K28" s="22"/>
      <c r="L28" s="23">
        <f t="shared" ref="L28:N28" ca="1" si="23">L29+L30</f>
        <v>2067483</v>
      </c>
      <c r="M28" s="23">
        <f t="shared" si="23"/>
        <v>0</v>
      </c>
      <c r="N28" s="23">
        <f t="shared" ca="1" si="23"/>
        <v>435198.1</v>
      </c>
      <c r="O28" s="22">
        <f t="shared" ref="O28:O30" ca="1" si="24">IF(L28&gt;0,N28*100/L28,0)</f>
        <v>21.04965796574869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2067483</v>
      </c>
      <c r="M30" s="30">
        <f t="shared" si="27"/>
        <v>0</v>
      </c>
      <c r="N30" s="30">
        <f t="shared" ca="1" si="27"/>
        <v>435198.1</v>
      </c>
      <c r="O30" s="29">
        <f t="shared" ca="1" si="24"/>
        <v>21.04965796574869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2" t="s">
        <v>20</v>
      </c>
      <c r="E31" s="553"/>
      <c r="F31" s="55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2067483</v>
      </c>
      <c r="M32" s="38">
        <f t="shared" si="30"/>
        <v>0</v>
      </c>
      <c r="N32" s="38">
        <f t="shared" ca="1" si="30"/>
        <v>435198.1</v>
      </c>
      <c r="O32" s="38">
        <f t="shared" ca="1" si="29"/>
        <v>21.04965796574869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2067483</v>
      </c>
      <c r="M34" s="38">
        <f t="shared" si="32"/>
        <v>0</v>
      </c>
      <c r="N34" s="38">
        <f t="shared" ca="1" si="32"/>
        <v>435198.1</v>
      </c>
      <c r="O34" s="38">
        <f t="shared" ca="1" si="29"/>
        <v>21.04965796574869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2" t="s">
        <v>23</v>
      </c>
      <c r="E35" s="55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5925889</v>
      </c>
      <c r="M37" s="54">
        <f t="shared" ca="1" si="33"/>
        <v>4758292</v>
      </c>
      <c r="N37" s="54">
        <f t="shared" ca="1" si="33"/>
        <v>3752990.02</v>
      </c>
      <c r="O37" s="55">
        <f t="shared" ca="1" si="29"/>
        <v>63.332101225655762</v>
      </c>
      <c r="P37" s="55">
        <f t="shared" ca="1" si="25"/>
        <v>78.872629506554034</v>
      </c>
    </row>
    <row r="38" spans="1:16" ht="21.75" customHeight="1" x14ac:dyDescent="0.45">
      <c r="A38" s="573" t="s">
        <v>27</v>
      </c>
      <c r="B38" s="560"/>
      <c r="C38" s="560"/>
      <c r="D38" s="560"/>
      <c r="E38" s="560"/>
      <c r="F38" s="560"/>
      <c r="G38" s="56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74" t="s">
        <v>28</v>
      </c>
      <c r="C39" s="555"/>
      <c r="D39" s="555"/>
      <c r="E39" s="555"/>
      <c r="F39" s="555"/>
      <c r="G39" s="55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75" t="s">
        <v>17</v>
      </c>
      <c r="E41" s="553"/>
      <c r="F41" s="553"/>
      <c r="G41" s="553"/>
      <c r="H41" s="75" t="s">
        <v>12</v>
      </c>
      <c r="I41" s="76"/>
      <c r="J41" s="76"/>
      <c r="K41" s="77"/>
      <c r="L41" s="78">
        <f t="shared" ref="L41:N41" ca="1" si="34">L42+L43</f>
        <v>2456799</v>
      </c>
      <c r="M41" s="78">
        <f t="shared" ca="1" si="34"/>
        <v>2209099</v>
      </c>
      <c r="N41" s="78">
        <f t="shared" ca="1" si="34"/>
        <v>2045705.02</v>
      </c>
      <c r="O41" s="77">
        <f t="shared" ref="O41:O43" ca="1" si="35">IF(L41&gt;0,N41*100/L41,0)</f>
        <v>83.267089411872931</v>
      </c>
      <c r="P41" s="77">
        <f t="shared" ref="P41:P43" ca="1" si="36">IF(M41&gt;0,N41*100/M41,0)</f>
        <v>92.603591781083594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2456799</v>
      </c>
      <c r="M43" s="78">
        <f t="shared" ca="1" si="38"/>
        <v>2209099</v>
      </c>
      <c r="N43" s="78">
        <f t="shared" ca="1" si="38"/>
        <v>2045705.02</v>
      </c>
      <c r="O43" s="77">
        <f t="shared" ca="1" si="35"/>
        <v>83.267089411872931</v>
      </c>
      <c r="P43" s="77">
        <f t="shared" ca="1" si="36"/>
        <v>92.603591781083594</v>
      </c>
    </row>
    <row r="44" spans="1:16" ht="21.75" customHeight="1" x14ac:dyDescent="0.45">
      <c r="A44" s="79"/>
      <c r="B44" s="80"/>
      <c r="C44" s="81" t="s">
        <v>16</v>
      </c>
      <c r="D44" s="552" t="s">
        <v>20</v>
      </c>
      <c r="E44" s="553"/>
      <c r="F44" s="55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990800</v>
      </c>
      <c r="M45" s="49">
        <f ca="1">IFERROR(__xludf.DUMMYFUNCTION("IMPORTRANGE(""https://docs.google.com/spreadsheets/d/1Yj_ptqi66GCucihVvJfMjLAmec39IyEx_6qawtMGysU/edit?usp=sharing"",""สบก!Q40"")"),743100)</f>
        <v>743100</v>
      </c>
      <c r="N45" s="49">
        <f ca="1">IFERROR(__xludf.DUMMYFUNCTION("IMPORTRANGE(""https://docs.google.com/spreadsheets/d/1Yj_ptqi66GCucihVvJfMjLAmec39IyEx_6qawtMGysU/edit?usp=sharing"",""สบก!R40"")"),579706.02)</f>
        <v>579706.02</v>
      </c>
      <c r="O45" s="38">
        <f ca="1">IF(L45&gt;0,N45*100/L45,0)</f>
        <v>58.508883730318935</v>
      </c>
      <c r="P45" s="38">
        <f ca="1">IF(M45&gt;0,N45*100/M45,0)</f>
        <v>78.011844973758585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IFERROR(__xludf.DUMMYFUNCTION("IMPORTRANGE(""https://docs.google.com/spreadsheets/d/1Yj_ptqi66GCucihVvJfMjLAmec39IyEx_6qawtMGysU/edit?usp=sharing"",""สบก!M40"")"),990800)</f>
        <v>990800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IFERROR(__xludf.DUMMYFUNCTION("IMPORTRANGE(""https://docs.google.com/spreadsheets/d/1Yj_ptqi66GCucihVvJfMjLAmec39IyEx_6qawtMGysU/edit?usp=sharing"",""สบก!N40"")"),0)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52" t="s">
        <v>23</v>
      </c>
      <c r="E48" s="55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IFERROR(__xludf.DUMMYFUNCTION("IMPORTRANGE(""https://docs.google.com/spreadsheets/d/1Yj_ptqi66GCucihVvJfMjLAmec39IyEx_6qawtMGysU/edit?usp=sharing"",""สบก!O40"")"),1465999)</f>
        <v>1465999</v>
      </c>
      <c r="M49" s="49">
        <f ca="1">L49</f>
        <v>1465999</v>
      </c>
      <c r="N49" s="49">
        <f ca="1">IFERROR(__xludf.DUMMYFUNCTION("IMPORTRANGE(""https://docs.google.com/spreadsheets/d/1Yj_ptqi66GCucihVvJfMjLAmec39IyEx_6qawtMGysU/edit?usp=sharing"",""สบก!S40"")"),1465999)</f>
        <v>1465999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76" t="s">
        <v>32</v>
      </c>
      <c r="C52" s="553"/>
      <c r="D52" s="553"/>
      <c r="E52" s="553"/>
      <c r="F52" s="553"/>
      <c r="G52" s="55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77" t="s">
        <v>17</v>
      </c>
      <c r="E53" s="553"/>
      <c r="F53" s="553"/>
      <c r="G53" s="553"/>
      <c r="H53" s="118" t="s">
        <v>12</v>
      </c>
      <c r="I53" s="119"/>
      <c r="J53" s="119"/>
      <c r="K53" s="120"/>
      <c r="L53" s="121">
        <f t="shared" ref="L53:N53" ca="1" si="39">L54+L55</f>
        <v>778800</v>
      </c>
      <c r="M53" s="121">
        <f t="shared" ca="1" si="39"/>
        <v>604808</v>
      </c>
      <c r="N53" s="121">
        <f t="shared" ca="1" si="39"/>
        <v>509673</v>
      </c>
      <c r="O53" s="120">
        <f t="shared" ref="O53:O55" ca="1" si="40">IF(L53&gt;0,N53*100/L53,0)</f>
        <v>65.443374422187986</v>
      </c>
      <c r="P53" s="120">
        <f t="shared" ref="P53:P55" ca="1" si="41">IF(M53&gt;0,N53*100/M53,0)</f>
        <v>84.270214679700004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778800</v>
      </c>
      <c r="M55" s="121">
        <f t="shared" ca="1" si="43"/>
        <v>604808</v>
      </c>
      <c r="N55" s="121">
        <f t="shared" ca="1" si="43"/>
        <v>509673</v>
      </c>
      <c r="O55" s="120">
        <f t="shared" ca="1" si="40"/>
        <v>65.443374422187986</v>
      </c>
      <c r="P55" s="120">
        <f t="shared" ca="1" si="41"/>
        <v>84.270214679700004</v>
      </c>
    </row>
    <row r="56" spans="1:16" ht="21.75" customHeight="1" x14ac:dyDescent="0.45">
      <c r="A56" s="79"/>
      <c r="B56" s="80"/>
      <c r="C56" s="81" t="s">
        <v>16</v>
      </c>
      <c r="D56" s="552" t="s">
        <v>20</v>
      </c>
      <c r="E56" s="553"/>
      <c r="F56" s="55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778800</v>
      </c>
      <c r="M57" s="49">
        <f ca="1">IFERROR(__xludf.DUMMYFUNCTION("IMPORTRANGE(""https://docs.google.com/spreadsheets/d/1Yj_ptqi66GCucihVvJfMjLAmec39IyEx_6qawtMGysU/edit?usp=sharing"",""สบก!Z40"")"),604808)</f>
        <v>604808</v>
      </c>
      <c r="N57" s="49">
        <f ca="1">IFERROR(__xludf.DUMMYFUNCTION("IMPORTRANGE(""https://docs.google.com/spreadsheets/d/1Yj_ptqi66GCucihVvJfMjLAmec39IyEx_6qawtMGysU/edit?usp=sharing"",""สบก!AA40"")"),509673)</f>
        <v>509673</v>
      </c>
      <c r="O57" s="38">
        <f ca="1">IF(L57&gt;0,N57*100/L57,0)</f>
        <v>65.443374422187986</v>
      </c>
      <c r="P57" s="38">
        <f ca="1">IF(M57&gt;0,N57*100/M57,0)</f>
        <v>84.270214679700004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IFERROR(__xludf.DUMMYFUNCTION("IMPORTRANGE(""https://docs.google.com/spreadsheets/d/1Yj_ptqi66GCucihVvJfMjLAmec39IyEx_6qawtMGysU/edit?usp=sharing"",""สบก!V40"")"),778800)</f>
        <v>778800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IFERROR(__xludf.DUMMYFUNCTION("IMPORTRANGE(""https://docs.google.com/spreadsheets/d/1Yj_ptqi66GCucihVvJfMjLAmec39IyEx_6qawtMGysU/edit?usp=sharing"",""สบก!W40"")"),0)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52" t="s">
        <v>23</v>
      </c>
      <c r="E60" s="55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IFERROR(__xludf.DUMMYFUNCTION("IMPORTRANGE(""https://docs.google.com/spreadsheets/d/1Yj_ptqi66GCucihVvJfMjLAmec39IyEx_6qawtMGysU/edit?usp=sharing"",""สบก!X40"")"),0)</f>
        <v>0</v>
      </c>
      <c r="M61" s="49"/>
      <c r="N61" s="49">
        <f ca="1">IFERROR(__xludf.DUMMYFUNCTION("IMPORTRANGE(""https://docs.google.com/spreadsheets/d/1Yj_ptqi66GCucihVvJfMjLAmec39IyEx_6qawtMGysU/edit?usp=sharing"",""สบก!AB40"")"),0)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IFERROR(__xludf.DUMMYFUNCTION("IMPORTRANGE(""https://docs.google.com/spreadsheets/d/1XL5vhW3sbDhbH9Cz0tuDiY8C3ctxq1tqvaCgkFb8cCA/edit?usp=sharing"",""ชัยภูมิ!I9"")"),0)</f>
        <v>0</v>
      </c>
      <c r="J64" s="142">
        <f ca="1">IFERROR(__xludf.DUMMYFUNCTION("IMPORTRANGE(""https://docs.google.com/spreadsheets/d/1XL5vhW3sbDhbH9Cz0tuDiY8C3ctxq1tqvaCgkFb8cCA/edit?usp=sharing"",""ชัยภูมิ!J9"")"),0)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IFERROR(__xludf.DUMMYFUNCTION("IMPORTRANGE(""https://docs.google.com/spreadsheets/d/1XL5vhW3sbDhbH9Cz0tuDiY8C3ctxq1tqvaCgkFb8cCA/edit?usp=sharing"",""ชัยภูมิ!I10"")"),0)</f>
        <v>0</v>
      </c>
      <c r="J65" s="142">
        <f ca="1">IFERROR(__xludf.DUMMYFUNCTION("IMPORTRANGE(""https://docs.google.com/spreadsheets/d/1XL5vhW3sbDhbH9Cz0tuDiY8C3ctxq1tqvaCgkFb8cCA/edit?usp=sharing"",""ชัยภูมิ!J10"")"),0)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54" t="s">
        <v>17</v>
      </c>
      <c r="E66" s="555"/>
      <c r="F66" s="555"/>
      <c r="G66" s="55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52" t="s">
        <v>20</v>
      </c>
      <c r="E69" s="553"/>
      <c r="F69" s="55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IFERROR(__xludf.DUMMYFUNCTION("IMPORTRANGE(""https://docs.google.com/spreadsheets/d/1Yj_ptqi66GCucihVvJfMjLAmec39IyEx_6qawtMGysU/edit?usp=sharing"",""สบก!AI40"")"),0)</f>
        <v>0</v>
      </c>
      <c r="N70" s="169">
        <f ca="1">IFERROR(__xludf.DUMMYFUNCTION("IMPORTRANGE(""https://docs.google.com/spreadsheets/d/1Yj_ptqi66GCucihVvJfMjLAmec39IyEx_6qawtMGysU/edit?usp=sharing"",""สบก!AJ40"")"),0)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IFERROR(__xludf.DUMMYFUNCTION("IMPORTRANGE(""https://docs.google.com/spreadsheets/d/1Yj_ptqi66GCucihVvJfMjLAmec39IyEx_6qawtMGysU/edit?usp=sharing"",""สบก!AE40"")"),0)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IFERROR(__xludf.DUMMYFUNCTION("IMPORTRANGE(""https://docs.google.com/spreadsheets/d/1Yj_ptqi66GCucihVvJfMjLAmec39IyEx_6qawtMGysU/edit?usp=sharing"",""สบก!AF40"")"),0)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52" t="s">
        <v>23</v>
      </c>
      <c r="E73" s="55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IFERROR(__xludf.DUMMYFUNCTION("IMPORTRANGE(""https://docs.google.com/spreadsheets/d/1Yj_ptqi66GCucihVvJfMjLAmec39IyEx_6qawtMGysU/edit?usp=sharing"",""สบก!AG40"")"),0)</f>
        <v>0</v>
      </c>
      <c r="M74" s="49"/>
      <c r="N74" s="49">
        <f ca="1">IFERROR(__xludf.DUMMYFUNCTION("IMPORTRANGE(""https://docs.google.com/spreadsheets/d/1Yj_ptqi66GCucihVvJfMjLAmec39IyEx_6qawtMGysU/edit?usp=sharing"",""สบก!AK40"")"),0)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IFERROR(__xludf.DUMMYFUNCTION("IMPORTRANGE(""https://docs.google.com/spreadsheets/d/1XL5vhW3sbDhbH9Cz0tuDiY8C3ctxq1tqvaCgkFb8cCA/edit?usp=sharing"",""ชัยภูมิ!J16"")"),0)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IFERROR(__xludf.DUMMYFUNCTION("IMPORTRANGE(""https://docs.google.com/spreadsheets/d/1XL5vhW3sbDhbH9Cz0tuDiY8C3ctxq1tqvaCgkFb8cCA/edit?usp=sharing"",""ชัยภูมิ!J17"")"),0)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IFERROR(__xludf.DUMMYFUNCTION("IMPORTRANGE(""https://docs.google.com/spreadsheets/d/1XL5vhW3sbDhbH9Cz0tuDiY8C3ctxq1tqvaCgkFb8cCA/edit?usp=sharing"",""ชัยภูมิ!J18"")"),0)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IFERROR(__xludf.DUMMYFUNCTION("IMPORTRANGE(""https://docs.google.com/spreadsheets/d/1XL5vhW3sbDhbH9Cz0tuDiY8C3ctxq1tqvaCgkFb8cCA/edit?usp=sharing"",""ชัยภูมิ!J19"")"),0)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IFERROR(__xludf.DUMMYFUNCTION("IMPORTRANGE(""https://docs.google.com/spreadsheets/d/1XL5vhW3sbDhbH9Cz0tuDiY8C3ctxq1tqvaCgkFb8cCA/edit?usp=sharing"",""ชัยภูมิ!I20"")"),0)</f>
        <v>0</v>
      </c>
      <c r="J80" s="201">
        <f ca="1">IFERROR(__xludf.DUMMYFUNCTION("IMPORTRANGE(""https://docs.google.com/spreadsheets/d/1XL5vhW3sbDhbH9Cz0tuDiY8C3ctxq1tqvaCgkFb8cCA/edit?usp=sharing"",""ชัยภูมิ!J20"")"),0)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IFERROR(__xludf.DUMMYFUNCTION("IMPORTRANGE(""https://docs.google.com/spreadsheets/d/1XL5vhW3sbDhbH9Cz0tuDiY8C3ctxq1tqvaCgkFb8cCA/edit?usp=sharing"",""ชัยภูมิ!I21"")"),0)</f>
        <v>0</v>
      </c>
      <c r="J81" s="201">
        <f ca="1">IFERROR(__xludf.DUMMYFUNCTION("IMPORTRANGE(""https://docs.google.com/spreadsheets/d/1XL5vhW3sbDhbH9Cz0tuDiY8C3ctxq1tqvaCgkFb8cCA/edit?usp=sharing"",""ชัยภูมิ!J21"")"),0)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IFERROR(__xludf.DUMMYFUNCTION("IMPORTRANGE(""https://docs.google.com/spreadsheets/d/1XL5vhW3sbDhbH9Cz0tuDiY8C3ctxq1tqvaCgkFb8cCA/edit?usp=sharing"",""ชัยภูมิ!I22"")"),0)</f>
        <v>0</v>
      </c>
      <c r="J82" s="204">
        <f ca="1">IFERROR(__xludf.DUMMYFUNCTION("IMPORTRANGE(""https://docs.google.com/spreadsheets/d/1XL5vhW3sbDhbH9Cz0tuDiY8C3ctxq1tqvaCgkFb8cCA/edit?usp=sharing"",""ชัยภูมิ!J22"")"),0)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IFERROR(__xludf.DUMMYFUNCTION("IMPORTRANGE(""https://docs.google.com/spreadsheets/d/1XL5vhW3sbDhbH9Cz0tuDiY8C3ctxq1tqvaCgkFb8cCA/edit?usp=sharing"",""ชัยภูมิ!I23"")"),0)</f>
        <v>0</v>
      </c>
      <c r="J83" s="204">
        <f ca="1">IFERROR(__xludf.DUMMYFUNCTION("IMPORTRANGE(""https://docs.google.com/spreadsheets/d/1XL5vhW3sbDhbH9Cz0tuDiY8C3ctxq1tqvaCgkFb8cCA/edit?usp=sharing"",""ชัยภูมิ!J23"")"),0)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IFERROR(__xludf.DUMMYFUNCTION("IMPORTRANGE(""https://docs.google.com/spreadsheets/d/1XL5vhW3sbDhbH9Cz0tuDiY8C3ctxq1tqvaCgkFb8cCA/edit?usp=sharing"",""ชัยภูมิ!I24"")"),0)</f>
        <v>0</v>
      </c>
      <c r="J84" s="189">
        <f ca="1">IFERROR(__xludf.DUMMYFUNCTION("IMPORTRANGE(""https://docs.google.com/spreadsheets/d/1XL5vhW3sbDhbH9Cz0tuDiY8C3ctxq1tqvaCgkFb8cCA/edit?usp=sharing"",""ชัยภูมิ!J24"")"),0)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IFERROR(__xludf.DUMMYFUNCTION("IMPORTRANGE(""https://docs.google.com/spreadsheets/d/1XL5vhW3sbDhbH9Cz0tuDiY8C3ctxq1tqvaCgkFb8cCA/edit?usp=sharing"",""ชัยภูมิ!I25"")"),0)</f>
        <v>0</v>
      </c>
      <c r="J85" s="189">
        <f ca="1">IFERROR(__xludf.DUMMYFUNCTION("IMPORTRANGE(""https://docs.google.com/spreadsheets/d/1XL5vhW3sbDhbH9Cz0tuDiY8C3ctxq1tqvaCgkFb8cCA/edit?usp=sharing"",""ชัยภูมิ!J25"")"),0)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IFERROR(__xludf.DUMMYFUNCTION("IMPORTRANGE(""https://docs.google.com/spreadsheets/d/1XL5vhW3sbDhbH9Cz0tuDiY8C3ctxq1tqvaCgkFb8cCA/edit?usp=sharing"",""ชัยภูมิ!I26"")"),0)</f>
        <v>0</v>
      </c>
      <c r="J86" s="204">
        <f ca="1">IFERROR(__xludf.DUMMYFUNCTION("IMPORTRANGE(""https://docs.google.com/spreadsheets/d/1XL5vhW3sbDhbH9Cz0tuDiY8C3ctxq1tqvaCgkFb8cCA/edit?usp=sharing"",""ชัยภูมิ!J26"")"),0)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IFERROR(__xludf.DUMMYFUNCTION("IMPORTRANGE(""https://docs.google.com/spreadsheets/d/1XL5vhW3sbDhbH9Cz0tuDiY8C3ctxq1tqvaCgkFb8cCA/edit?usp=sharing"",""ชัยภูมิ!I27"")"),0)</f>
        <v>0</v>
      </c>
      <c r="J87" s="204">
        <f ca="1">IFERROR(__xludf.DUMMYFUNCTION("IMPORTRANGE(""https://docs.google.com/spreadsheets/d/1XL5vhW3sbDhbH9Cz0tuDiY8C3ctxq1tqvaCgkFb8cCA/edit?usp=sharing"",""ชัยภูมิ!J27"")"),0)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IFERROR(__xludf.DUMMYFUNCTION("IMPORTRANGE(""https://docs.google.com/spreadsheets/d/1XL5vhW3sbDhbH9Cz0tuDiY8C3ctxq1tqvaCgkFb8cCA/edit?usp=sharing"",""ชัยภูมิ!I28"")"),0)</f>
        <v>0</v>
      </c>
      <c r="J88" s="204">
        <f ca="1">IFERROR(__xludf.DUMMYFUNCTION("IMPORTRANGE(""https://docs.google.com/spreadsheets/d/1XL5vhW3sbDhbH9Cz0tuDiY8C3ctxq1tqvaCgkFb8cCA/edit?usp=sharing"",""ชัยภูมิ!J28"")"),0)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IFERROR(__xludf.DUMMYFUNCTION("IMPORTRANGE(""https://docs.google.com/spreadsheets/d/1XL5vhW3sbDhbH9Cz0tuDiY8C3ctxq1tqvaCgkFb8cCA/edit?usp=sharing"",""ชัยภูมิ!J29"")"),0)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IFERROR(__xludf.DUMMYFUNCTION("IMPORTRANGE(""https://docs.google.com/spreadsheets/d/1XL5vhW3sbDhbH9Cz0tuDiY8C3ctxq1tqvaCgkFb8cCA/edit?usp=sharing"",""ชัยภูมิ!J30"")"),0)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IFERROR(__xludf.DUMMYFUNCTION("IMPORTRANGE(""https://docs.google.com/spreadsheets/d/1XL5vhW3sbDhbH9Cz0tuDiY8C3ctxq1tqvaCgkFb8cCA/edit?usp=sharing"",""ชัยภูมิ!I32"")"),0)</f>
        <v>0</v>
      </c>
      <c r="J92" s="142">
        <f ca="1">IFERROR(__xludf.DUMMYFUNCTION("IMPORTRANGE(""https://docs.google.com/spreadsheets/d/1XL5vhW3sbDhbH9Cz0tuDiY8C3ctxq1tqvaCgkFb8cCA/edit?usp=sharing"",""ชัยภูมิ!J32"")"),0)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IFERROR(__xludf.DUMMYFUNCTION("IMPORTRANGE(""https://docs.google.com/spreadsheets/d/1XL5vhW3sbDhbH9Cz0tuDiY8C3ctxq1tqvaCgkFb8cCA/edit?usp=sharing"",""ชัยภูมิ!I33"")"),0)</f>
        <v>0</v>
      </c>
      <c r="J93" s="142">
        <f ca="1">IFERROR(__xludf.DUMMYFUNCTION("IMPORTRANGE(""https://docs.google.com/spreadsheets/d/1XL5vhW3sbDhbH9Cz0tuDiY8C3ctxq1tqvaCgkFb8cCA/edit?usp=sharing"",""ชัยภูมิ!J33"")"),0)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54" t="s">
        <v>17</v>
      </c>
      <c r="E94" s="555"/>
      <c r="F94" s="555"/>
      <c r="G94" s="55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52" t="s">
        <v>20</v>
      </c>
      <c r="E97" s="553"/>
      <c r="F97" s="55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IFERROR(__xludf.DUMMYFUNCTION("IMPORTRANGE(""https://docs.google.com/spreadsheets/d/1Yj_ptqi66GCucihVvJfMjLAmec39IyEx_6qawtMGysU/edit?usp=sharing"",""สบก!AR40"")"),0)</f>
        <v>0</v>
      </c>
      <c r="N98" s="169">
        <f ca="1">IFERROR(__xludf.DUMMYFUNCTION("IMPORTRANGE(""https://docs.google.com/spreadsheets/d/1Yj_ptqi66GCucihVvJfMjLAmec39IyEx_6qawtMGysU/edit?usp=sharing"",""สบก!AS40"")"),0)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IFERROR(__xludf.DUMMYFUNCTION("IMPORTRANGE(""https://docs.google.com/spreadsheets/d/1Yj_ptqi66GCucihVvJfMjLAmec39IyEx_6qawtMGysU/edit?usp=sharing"",""สบก!AN40"")"),0)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IFERROR(__xludf.DUMMYFUNCTION("IMPORTRANGE(""https://docs.google.com/spreadsheets/d/1Yj_ptqi66GCucihVvJfMjLAmec39IyEx_6qawtMGysU/edit?usp=sharing"",""สบก!AO40"")"),0)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52" t="s">
        <v>23</v>
      </c>
      <c r="E101" s="55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IFERROR(__xludf.DUMMYFUNCTION("IMPORTRANGE(""https://docs.google.com/spreadsheets/d/1Yj_ptqi66GCucihVvJfMjLAmec39IyEx_6qawtMGysU/edit?usp=sharing"",""สบก!AP40"")"),0)</f>
        <v>0</v>
      </c>
      <c r="M102" s="49"/>
      <c r="N102" s="49">
        <f ca="1">IFERROR(__xludf.DUMMYFUNCTION("IMPORTRANGE(""https://docs.google.com/spreadsheets/d/1Yj_ptqi66GCucihVvJfMjLAmec39IyEx_6qawtMGysU/edit?usp=sharing"",""สบก!AT40"")"),0)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IFERROR(__xludf.DUMMYFUNCTION("IMPORTRANGE(""https://docs.google.com/spreadsheets/d/1XL5vhW3sbDhbH9Cz0tuDiY8C3ctxq1tqvaCgkFb8cCA/edit?usp=sharing"",""ชัยภูมิ!J39"")"),0)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IFERROR(__xludf.DUMMYFUNCTION("IMPORTRANGE(""https://docs.google.com/spreadsheets/d/1XL5vhW3sbDhbH9Cz0tuDiY8C3ctxq1tqvaCgkFb8cCA/edit?usp=sharing"",""ชัยภูมิ!J40"")"),0)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IFERROR(__xludf.DUMMYFUNCTION("IMPORTRANGE(""https://docs.google.com/spreadsheets/d/1XL5vhW3sbDhbH9Cz0tuDiY8C3ctxq1tqvaCgkFb8cCA/edit?usp=sharing"",""ชัยภูมิ!J41"")"),0)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IFERROR(__xludf.DUMMYFUNCTION("IMPORTRANGE(""https://docs.google.com/spreadsheets/d/1XL5vhW3sbDhbH9Cz0tuDiY8C3ctxq1tqvaCgkFb8cCA/edit?usp=sharing"",""ชัยภูมิ!J42"")"),0)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IFERROR(__xludf.DUMMYFUNCTION("IMPORTRANGE(""https://docs.google.com/spreadsheets/d/1XL5vhW3sbDhbH9Cz0tuDiY8C3ctxq1tqvaCgkFb8cCA/edit?usp=sharing"",""ชัยภูมิ!I43"")"),0)</f>
        <v>0</v>
      </c>
      <c r="J108" s="204">
        <f ca="1">IFERROR(__xludf.DUMMYFUNCTION("IMPORTRANGE(""https://docs.google.com/spreadsheets/d/1XL5vhW3sbDhbH9Cz0tuDiY8C3ctxq1tqvaCgkFb8cCA/edit?usp=sharing"",""ชัยภูมิ!J43"")"),0)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IFERROR(__xludf.DUMMYFUNCTION("IMPORTRANGE(""https://docs.google.com/spreadsheets/d/1XL5vhW3sbDhbH9Cz0tuDiY8C3ctxq1tqvaCgkFb8cCA/edit?usp=sharing"",""ชัยภูมิ!I44"")"),0)</f>
        <v>0</v>
      </c>
      <c r="J109" s="204">
        <f ca="1">IFERROR(__xludf.DUMMYFUNCTION("IMPORTRANGE(""https://docs.google.com/spreadsheets/d/1XL5vhW3sbDhbH9Cz0tuDiY8C3ctxq1tqvaCgkFb8cCA/edit?usp=sharing"",""ชัยภูมิ!J44"")"),0)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IFERROR(__xludf.DUMMYFUNCTION("IMPORTRANGE(""https://docs.google.com/spreadsheets/d/1XL5vhW3sbDhbH9Cz0tuDiY8C3ctxq1tqvaCgkFb8cCA/edit?usp=sharing"",""ชัยภูมิ!I45"")"),0)</f>
        <v>0</v>
      </c>
      <c r="J110" s="204">
        <f ca="1">IFERROR(__xludf.DUMMYFUNCTION("IMPORTRANGE(""https://docs.google.com/spreadsheets/d/1XL5vhW3sbDhbH9Cz0tuDiY8C3ctxq1tqvaCgkFb8cCA/edit?usp=sharing"",""ชัยภูมิ!J45"")"),0)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IFERROR(__xludf.DUMMYFUNCTION("IMPORTRANGE(""https://docs.google.com/spreadsheets/d/1XL5vhW3sbDhbH9Cz0tuDiY8C3ctxq1tqvaCgkFb8cCA/edit?usp=sharing"",""ชัยภูมิ!I46"")"),0)</f>
        <v>0</v>
      </c>
      <c r="J111" s="204">
        <f ca="1">IFERROR(__xludf.DUMMYFUNCTION("IMPORTRANGE(""https://docs.google.com/spreadsheets/d/1XL5vhW3sbDhbH9Cz0tuDiY8C3ctxq1tqvaCgkFb8cCA/edit?usp=sharing"",""ชัยภูมิ!J46"")"),0)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IFERROR(__xludf.DUMMYFUNCTION("IMPORTRANGE(""https://docs.google.com/spreadsheets/d/1XL5vhW3sbDhbH9Cz0tuDiY8C3ctxq1tqvaCgkFb8cCA/edit?usp=sharing"",""ชัยภูมิ!I47"")"),0)</f>
        <v>0</v>
      </c>
      <c r="J112" s="204">
        <f ca="1">IFERROR(__xludf.DUMMYFUNCTION("IMPORTRANGE(""https://docs.google.com/spreadsheets/d/1XL5vhW3sbDhbH9Cz0tuDiY8C3ctxq1tqvaCgkFb8cCA/edit?usp=sharing"",""ชัยภูมิ!J47"")"),0)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IFERROR(__xludf.DUMMYFUNCTION("IMPORTRANGE(""https://docs.google.com/spreadsheets/d/1XL5vhW3sbDhbH9Cz0tuDiY8C3ctxq1tqvaCgkFb8cCA/edit?usp=sharing"",""ชัยภูมิ!I48"")"),0)</f>
        <v>0</v>
      </c>
      <c r="J113" s="204">
        <f ca="1">IFERROR(__xludf.DUMMYFUNCTION("IMPORTRANGE(""https://docs.google.com/spreadsheets/d/1XL5vhW3sbDhbH9Cz0tuDiY8C3ctxq1tqvaCgkFb8cCA/edit?usp=sharing"",""ชัยภูมิ!J48"")"),0)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IFERROR(__xludf.DUMMYFUNCTION("IMPORTRANGE(""https://docs.google.com/spreadsheets/d/1XL5vhW3sbDhbH9Cz0tuDiY8C3ctxq1tqvaCgkFb8cCA/edit?usp=sharing"",""ชัยภูมิ!J49"")"),0)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IFERROR(__xludf.DUMMYFUNCTION("IMPORTRANGE(""https://docs.google.com/spreadsheets/d/1XL5vhW3sbDhbH9Cz0tuDiY8C3ctxq1tqvaCgkFb8cCA/edit?usp=sharing"",""ชัยภูมิ!J50"")"),0)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IFERROR(__xludf.DUMMYFUNCTION("IMPORTRANGE(""https://docs.google.com/spreadsheets/d/1XL5vhW3sbDhbH9Cz0tuDiY8C3ctxq1tqvaCgkFb8cCA/edit?usp=sharing"",""ชัยภูมิ!I52"")"),20)</f>
        <v>20</v>
      </c>
      <c r="J117" s="142">
        <f ca="1">IFERROR(__xludf.DUMMYFUNCTION("IMPORTRANGE(""https://docs.google.com/spreadsheets/d/1XL5vhW3sbDhbH9Cz0tuDiY8C3ctxq1tqvaCgkFb8cCA/edit?usp=sharing"",""ชัยภูมิ!J52"")"),20)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54" t="s">
        <v>17</v>
      </c>
      <c r="E118" s="555"/>
      <c r="F118" s="555"/>
      <c r="G118" s="555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20245</v>
      </c>
      <c r="O118" s="151">
        <f t="shared" ref="O118:O120" ca="1" si="59">IF(L118&gt;0,N118*100/L118,0)</f>
        <v>24.55725376031053</v>
      </c>
      <c r="P118" s="151">
        <f t="shared" ref="P118:P120" ca="1" si="60">IF(M118&gt;0,N118*100/M118,0)</f>
        <v>24.55725376031053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20245</v>
      </c>
      <c r="O120" s="156">
        <f t="shared" ca="1" si="59"/>
        <v>24.55725376031053</v>
      </c>
      <c r="P120" s="156">
        <f t="shared" ca="1" si="60"/>
        <v>24.55725376031053</v>
      </c>
    </row>
    <row r="121" spans="1:16" ht="21.75" customHeight="1" x14ac:dyDescent="0.45">
      <c r="A121" s="158"/>
      <c r="B121" s="159"/>
      <c r="C121" s="159" t="s">
        <v>16</v>
      </c>
      <c r="D121" s="552" t="s">
        <v>20</v>
      </c>
      <c r="E121" s="553"/>
      <c r="F121" s="55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168">
        <f ca="1">IFERROR(__xludf.DUMMYFUNCTION("IMPORTRANGE(""https://docs.google.com/spreadsheets/d/1Yj_ptqi66GCucihVvJfMjLAmec39IyEx_6qawtMGysU/edit?usp=sharing"",""สบก!BA40"")"),82440)</f>
        <v>82440</v>
      </c>
      <c r="N122" s="169">
        <f ca="1">IFERROR(__xludf.DUMMYFUNCTION("IMPORTRANGE(""https://docs.google.com/spreadsheets/d/1Yj_ptqi66GCucihVvJfMjLAmec39IyEx_6qawtMGysU/edit?usp=sharing"",""สบก!BB40"")"),20245)</f>
        <v>20245</v>
      </c>
      <c r="O122" s="169">
        <f ca="1">IF(L122&gt;0,N122*100/L122,0)</f>
        <v>24.55725376031053</v>
      </c>
      <c r="P122" s="169">
        <f ca="1">IF(M122&gt;0,N122*100/M122,0)</f>
        <v>24.55725376031053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IFERROR(__xludf.DUMMYFUNCTION("IMPORTRANGE(""https://docs.google.com/spreadsheets/d/1Yj_ptqi66GCucihVvJfMjLAmec39IyEx_6qawtMGysU/edit?usp=sharing"",""สบก!AW40"")"),0)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IFERROR(__xludf.DUMMYFUNCTION("IMPORTRANGE(""https://docs.google.com/spreadsheets/d/1Yj_ptqi66GCucihVvJfMjLAmec39IyEx_6qawtMGysU/edit?usp=sharing"",""สบก!AX40"")"),82440)</f>
        <v>82440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52" t="s">
        <v>23</v>
      </c>
      <c r="E125" s="55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IFERROR(__xludf.DUMMYFUNCTION("IMPORTRANGE(""https://docs.google.com/spreadsheets/d/1Yj_ptqi66GCucihVvJfMjLAmec39IyEx_6qawtMGysU/edit?usp=sharing"",""สบก!AY40"")"),0)</f>
        <v>0</v>
      </c>
      <c r="M126" s="49"/>
      <c r="N126" s="49">
        <f ca="1">IFERROR(__xludf.DUMMYFUNCTION("IMPORTRANGE(""https://docs.google.com/spreadsheets/d/1Yj_ptqi66GCucihVvJfMjLAmec39IyEx_6qawtMGysU/edit?usp=sharing"",""สบก!BC40"")"),0)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3" t="s">
        <v>243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IFERROR(__xludf.DUMMYFUNCTION("IMPORTRANGE(""https://docs.google.com/spreadsheets/d/1XL5vhW3sbDhbH9Cz0tuDiY8C3ctxq1tqvaCgkFb8cCA/edit?usp=sharing"",""ชัยภูมิ!J58"")"),0)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IFERROR(__xludf.DUMMYFUNCTION("IMPORTRANGE(""https://docs.google.com/spreadsheets/d/1XL5vhW3sbDhbH9Cz0tuDiY8C3ctxq1tqvaCgkFb8cCA/edit?usp=sharing"",""ชัยภูมิ!J59"")"),1)</f>
        <v>1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IFERROR(__xludf.DUMMYFUNCTION("IMPORTRANGE(""https://docs.google.com/spreadsheets/d/1XL5vhW3sbDhbH9Cz0tuDiY8C3ctxq1tqvaCgkFb8cCA/edit?usp=sharing"",""ชัยภูมิ!J60"")"),1)</f>
        <v>1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IFERROR(__xludf.DUMMYFUNCTION("IMPORTRANGE(""https://docs.google.com/spreadsheets/d/1XL5vhW3sbDhbH9Cz0tuDiY8C3ctxq1tqvaCgkFb8cCA/edit?usp=sharing"",""ชัยภูมิ!J61"")"),0)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IFERROR(__xludf.DUMMYFUNCTION("IMPORTRANGE(""https://docs.google.com/spreadsheets/d/1XL5vhW3sbDhbH9Cz0tuDiY8C3ctxq1tqvaCgkFb8cCA/edit?usp=sharing"",""ชัยภูมิ!I62"")"),20)</f>
        <v>20</v>
      </c>
      <c r="J132" s="204">
        <f ca="1">IFERROR(__xludf.DUMMYFUNCTION("IMPORTRANGE(""https://docs.google.com/spreadsheets/d/1XL5vhW3sbDhbH9Cz0tuDiY8C3ctxq1tqvaCgkFb8cCA/edit?usp=sharing"",""ชัยภูมิ!J62"")"),20)</f>
        <v>20</v>
      </c>
      <c r="K132" s="224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IFERROR(__xludf.DUMMYFUNCTION("IMPORTRANGE(""https://docs.google.com/spreadsheets/d/1XL5vhW3sbDhbH9Cz0tuDiY8C3ctxq1tqvaCgkFb8cCA/edit?usp=sharing"",""ชัยภูมิ!I63"")"),20)</f>
        <v>20</v>
      </c>
      <c r="J133" s="204">
        <f ca="1">IFERROR(__xludf.DUMMYFUNCTION("IMPORTRANGE(""https://docs.google.com/spreadsheets/d/1XL5vhW3sbDhbH9Cz0tuDiY8C3ctxq1tqvaCgkFb8cCA/edit?usp=sharing"",""ชัยภูมิ!J63"")"),0)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IFERROR(__xludf.DUMMYFUNCTION("IMPORTRANGE(""https://docs.google.com/spreadsheets/d/1XL5vhW3sbDhbH9Cz0tuDiY8C3ctxq1tqvaCgkFb8cCA/edit?usp=sharing"",""ชัยภูมิ!J64"")"),0)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IFERROR(__xludf.DUMMYFUNCTION("IMPORTRANGE(""https://docs.google.com/spreadsheets/d/1XL5vhW3sbDhbH9Cz0tuDiY8C3ctxq1tqvaCgkFb8cCA/edit?usp=sharing"",""ชัยภูมิ!J65"")"),0)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IFERROR(__xludf.DUMMYFUNCTION("IMPORTRANGE(""https://docs.google.com/spreadsheets/d/1XL5vhW3sbDhbH9Cz0tuDiY8C3ctxq1tqvaCgkFb8cCA/edit?usp=sharing"",""ชัยภูมิ!I68"")"),0)</f>
        <v>0</v>
      </c>
      <c r="J138" s="267">
        <f ca="1">IFERROR(__xludf.DUMMYFUNCTION("IMPORTRANGE(""https://docs.google.com/spreadsheets/d/1XL5vhW3sbDhbH9Cz0tuDiY8C3ctxq1tqvaCgkFb8cCA/edit?usp=sharing"",""ชัยภูมิ!J68"")"),0)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54" t="s">
        <v>17</v>
      </c>
      <c r="E140" s="555"/>
      <c r="F140" s="555"/>
      <c r="G140" s="555"/>
      <c r="H140" s="149" t="s">
        <v>12</v>
      </c>
      <c r="I140" s="162"/>
      <c r="J140" s="162"/>
      <c r="K140" s="163"/>
      <c r="L140" s="152">
        <f t="shared" ref="L140:N140" ca="1" si="64">L141+L142</f>
        <v>83000</v>
      </c>
      <c r="M140" s="152">
        <f t="shared" ca="1" si="64"/>
        <v>69625</v>
      </c>
      <c r="N140" s="152">
        <f t="shared" ca="1" si="64"/>
        <v>2200</v>
      </c>
      <c r="O140" s="151">
        <f t="shared" ref="O140:O142" ca="1" si="65">IF(L140&gt;0,N140*100/L140,0)</f>
        <v>2.6506024096385543</v>
      </c>
      <c r="P140" s="151">
        <f t="shared" ref="P140:P142" ca="1" si="66">IF(M140&gt;0,N140*100/M140,0)</f>
        <v>3.1597845601436267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83000</v>
      </c>
      <c r="M142" s="157">
        <f t="shared" ca="1" si="68"/>
        <v>69625</v>
      </c>
      <c r="N142" s="157">
        <f t="shared" ca="1" si="68"/>
        <v>2200</v>
      </c>
      <c r="O142" s="156">
        <f t="shared" ca="1" si="65"/>
        <v>2.6506024096385543</v>
      </c>
      <c r="P142" s="156">
        <f t="shared" ca="1" si="66"/>
        <v>3.1597845601436267</v>
      </c>
    </row>
    <row r="143" spans="1:16" ht="21.75" customHeight="1" x14ac:dyDescent="0.45">
      <c r="A143" s="158"/>
      <c r="B143" s="159"/>
      <c r="C143" s="159" t="s">
        <v>16</v>
      </c>
      <c r="D143" s="552" t="s">
        <v>20</v>
      </c>
      <c r="E143" s="553"/>
      <c r="F143" s="55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83000</v>
      </c>
      <c r="M144" s="168">
        <f ca="1">IFERROR(__xludf.DUMMYFUNCTION("IMPORTRANGE(""https://docs.google.com/spreadsheets/d/1Yj_ptqi66GCucihVvJfMjLAmec39IyEx_6qawtMGysU/edit?usp=sharing"",""สบก!BJ40"")"),69625)</f>
        <v>69625</v>
      </c>
      <c r="N144" s="169">
        <f ca="1">IFERROR(__xludf.DUMMYFUNCTION("IMPORTRANGE(""https://docs.google.com/spreadsheets/d/1Yj_ptqi66GCucihVvJfMjLAmec39IyEx_6qawtMGysU/edit?usp=sharing"",""สบก!BK40"")"),2200)</f>
        <v>2200</v>
      </c>
      <c r="O144" s="169">
        <f ca="1">IF(L144&gt;0,N144*100/L144,0)</f>
        <v>2.6506024096385543</v>
      </c>
      <c r="P144" s="169">
        <f ca="1">IF(M144&gt;0,N144*100/M144,0)</f>
        <v>3.1597845601436267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IFERROR(__xludf.DUMMYFUNCTION("IMPORTRANGE(""https://docs.google.com/spreadsheets/d/1Yj_ptqi66GCucihVvJfMjLAmec39IyEx_6qawtMGysU/edit?usp=sharing"",""สบก!BF40"")"),0)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IFERROR(__xludf.DUMMYFUNCTION("IMPORTRANGE(""https://docs.google.com/spreadsheets/d/1Yj_ptqi66GCucihVvJfMjLAmec39IyEx_6qawtMGysU/edit?usp=sharing"",""สบก!BG40"")"),83000)</f>
        <v>83000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52" t="s">
        <v>23</v>
      </c>
      <c r="E147" s="55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IFERROR(__xludf.DUMMYFUNCTION("IMPORTRANGE(""https://docs.google.com/spreadsheets/d/1Yj_ptqi66GCucihVvJfMjLAmec39IyEx_6qawtMGysU/edit?usp=sharing"",""สบก!BH40"")"),0)</f>
        <v>0</v>
      </c>
      <c r="M148" s="49"/>
      <c r="N148" s="49">
        <f ca="1">IFERROR(__xludf.DUMMYFUNCTION("IMPORTRANGE(""https://docs.google.com/spreadsheets/d/1Yj_ptqi66GCucihVvJfMjLAmec39IyEx_6qawtMGysU/edit?usp=sharing"",""สบก!BL40"")"),0)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IFERROR(__xludf.DUMMYFUNCTION("IMPORTRANGE(""https://docs.google.com/spreadsheets/d/1XL5vhW3sbDhbH9Cz0tuDiY8C3ctxq1tqvaCgkFb8cCA/edit?usp=sharing"",""ชัยภูมิ!I74"")"),4)</f>
        <v>4</v>
      </c>
      <c r="J149" s="275">
        <f ca="1">IFERROR(__xludf.DUMMYFUNCTION("IMPORTRANGE(""https://docs.google.com/spreadsheets/d/1XL5vhW3sbDhbH9Cz0tuDiY8C3ctxq1tqvaCgkFb8cCA/edit?usp=sharing"",""ชัยภูมิ!J74"")"),1)</f>
        <v>1</v>
      </c>
      <c r="K149" s="276">
        <f ca="1">IF(I149&gt;0,J149*100/I149,0)</f>
        <v>25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IFERROR(__xludf.DUMMYFUNCTION("IMPORTRANGE(""https://docs.google.com/spreadsheets/d/1XL5vhW3sbDhbH9Cz0tuDiY8C3ctxq1tqvaCgkFb8cCA/edit?usp=sharing"",""ชัยภูมิ!J79"")"),0)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IFERROR(__xludf.DUMMYFUNCTION("IMPORTRANGE(""https://docs.google.com/spreadsheets/d/1XL5vhW3sbDhbH9Cz0tuDiY8C3ctxq1tqvaCgkFb8cCA/edit?usp=sharing"",""ชัยภูมิ!J80"")"),1)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IFERROR(__xludf.DUMMYFUNCTION("IMPORTRANGE(""https://docs.google.com/spreadsheets/d/1XL5vhW3sbDhbH9Cz0tuDiY8C3ctxq1tqvaCgkFb8cCA/edit?usp=sharing"",""ชัยภูมิ!J81"")"),1)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IFERROR(__xludf.DUMMYFUNCTION("IMPORTRANGE(""https://docs.google.com/spreadsheets/d/1XL5vhW3sbDhbH9Cz0tuDiY8C3ctxq1tqvaCgkFb8cCA/edit?usp=sharing"",""ชัยภูมิ!J82"")"),1)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IFERROR(__xludf.DUMMYFUNCTION("IMPORTRANGE(""https://docs.google.com/spreadsheets/d/1XL5vhW3sbDhbH9Cz0tuDiY8C3ctxq1tqvaCgkFb8cCA/edit?usp=sharing"",""ชัยภูมิ!I83"")"),4)</f>
        <v>4</v>
      </c>
      <c r="J158" s="189">
        <f ca="1">IFERROR(__xludf.DUMMYFUNCTION("IMPORTRANGE(""https://docs.google.com/spreadsheets/d/1XL5vhW3sbDhbH9Cz0tuDiY8C3ctxq1tqvaCgkFb8cCA/edit?usp=sharing"",""ชัยภูมิ!J83"")"),1)</f>
        <v>1</v>
      </c>
      <c r="K158" s="163">
        <f ca="1">IF(I158&gt;0,J158*100/I158,0)</f>
        <v>25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IFERROR(__xludf.DUMMYFUNCTION("IMPORTRANGE(""https://docs.google.com/spreadsheets/d/1XL5vhW3sbDhbH9Cz0tuDiY8C3ctxq1tqvaCgkFb8cCA/edit?usp=sharing"",""ชัยภูมิ!J84"")"),0)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IFERROR(__xludf.DUMMYFUNCTION("IMPORTRANGE(""https://docs.google.com/spreadsheets/d/1XL5vhW3sbDhbH9Cz0tuDiY8C3ctxq1tqvaCgkFb8cCA/edit?usp=sharing"",""ชัยภูมิ!J85"")"),0)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IFERROR(__xludf.DUMMYFUNCTION("IMPORTRANGE(""https://docs.google.com/spreadsheets/d/1XL5vhW3sbDhbH9Cz0tuDiY8C3ctxq1tqvaCgkFb8cCA/edit?usp=sharing"",""ชัยภูมิ!J86"")"),0)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IFERROR(__xludf.DUMMYFUNCTION("IMPORTRANGE(""https://docs.google.com/spreadsheets/d/1XL5vhW3sbDhbH9Cz0tuDiY8C3ctxq1tqvaCgkFb8cCA/edit?usp=sharing"",""ชัยภูมิ!J87"")"),0)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IFERROR(__xludf.DUMMYFUNCTION("IMPORTRANGE(""https://docs.google.com/spreadsheets/d/1XL5vhW3sbDhbH9Cz0tuDiY8C3ctxq1tqvaCgkFb8cCA/edit?usp=sharing"",""ชัยภูมิ!J88"")"),0)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IFERROR(__xludf.DUMMYFUNCTION("IMPORTRANGE(""https://docs.google.com/spreadsheets/d/1XL5vhW3sbDhbH9Cz0tuDiY8C3ctxq1tqvaCgkFb8cCA/edit?usp=sharing"",""ชัยภูมิ!I89"")"),4)</f>
        <v>4</v>
      </c>
      <c r="J164" s="284">
        <f ca="1">IFERROR(__xludf.DUMMYFUNCTION("IMPORTRANGE(""https://docs.google.com/spreadsheets/d/1XL5vhW3sbDhbH9Cz0tuDiY8C3ctxq1tqvaCgkFb8cCA/edit?usp=sharing"",""ชัยภูมิ!J89"")"),0)</f>
        <v>0</v>
      </c>
      <c r="K164" s="285">
        <f ca="1">IF(I164&gt;0,J164*100/I164,0)</f>
        <v>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IFERROR(__xludf.DUMMYFUNCTION("IMPORTRANGE(""https://docs.google.com/spreadsheets/d/1XL5vhW3sbDhbH9Cz0tuDiY8C3ctxq1tqvaCgkFb8cCA/edit?usp=sharing"",""ชัยภูมิ!J94"")"),0)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IFERROR(__xludf.DUMMYFUNCTION("IMPORTRANGE(""https://docs.google.com/spreadsheets/d/1XL5vhW3sbDhbH9Cz0tuDiY8C3ctxq1tqvaCgkFb8cCA/edit?usp=sharing"",""ชัยภูมิ!J95"")"),1)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IFERROR(__xludf.DUMMYFUNCTION("IMPORTRANGE(""https://docs.google.com/spreadsheets/d/1XL5vhW3sbDhbH9Cz0tuDiY8C3ctxq1tqvaCgkFb8cCA/edit?usp=sharing"",""ชัยภูมิ!J96"")"),1)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IFERROR(__xludf.DUMMYFUNCTION("IMPORTRANGE(""https://docs.google.com/spreadsheets/d/1XL5vhW3sbDhbH9Cz0tuDiY8C3ctxq1tqvaCgkFb8cCA/edit?usp=sharing"",""ชัยภูมิ!J97"")"),1)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IFERROR(__xludf.DUMMYFUNCTION("IMPORTRANGE(""https://docs.google.com/spreadsheets/d/1XL5vhW3sbDhbH9Cz0tuDiY8C3ctxq1tqvaCgkFb8cCA/edit?usp=sharing"",""ชัยภูมิ!I98"")"),4)</f>
        <v>4</v>
      </c>
      <c r="J173" s="189">
        <f ca="1">IFERROR(__xludf.DUMMYFUNCTION("IMPORTRANGE(""https://docs.google.com/spreadsheets/d/1XL5vhW3sbDhbH9Cz0tuDiY8C3ctxq1tqvaCgkFb8cCA/edit?usp=sharing"",""ชัยภูมิ!J98"")"),0)</f>
        <v>0</v>
      </c>
      <c r="K173" s="163">
        <f ca="1">IF(I173&gt;0,J173*100/I173,0)</f>
        <v>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IFERROR(__xludf.DUMMYFUNCTION("IMPORTRANGE(""https://docs.google.com/spreadsheets/d/1XL5vhW3sbDhbH9Cz0tuDiY8C3ctxq1tqvaCgkFb8cCA/edit?usp=sharing"",""ชัยภูมิ!J99"")"),0)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IFERROR(__xludf.DUMMYFUNCTION("IMPORTRANGE(""https://docs.google.com/spreadsheets/d/1XL5vhW3sbDhbH9Cz0tuDiY8C3ctxq1tqvaCgkFb8cCA/edit?usp=sharing"",""ชัยภูมิ!J100"")"),0)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IFERROR(__xludf.DUMMYFUNCTION("IMPORTRANGE(""https://docs.google.com/spreadsheets/d/1XL5vhW3sbDhbH9Cz0tuDiY8C3ctxq1tqvaCgkFb8cCA/edit?usp=sharing"",""ชัยภูมิ!I101"")"),0)</f>
        <v>0</v>
      </c>
      <c r="J176" s="284">
        <f ca="1">IFERROR(__xludf.DUMMYFUNCTION("IMPORTRANGE(""https://docs.google.com/spreadsheets/d/1XL5vhW3sbDhbH9Cz0tuDiY8C3ctxq1tqvaCgkFb8cCA/edit?usp=sharing"",""ชัยภูมิ!J101"")"),0)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IFERROR(__xludf.DUMMYFUNCTION("IMPORTRANGE(""https://docs.google.com/spreadsheets/d/1XL5vhW3sbDhbH9Cz0tuDiY8C3ctxq1tqvaCgkFb8cCA/edit?usp=sharing"",""ชัยภูมิ!J106"")"),0)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IFERROR(__xludf.DUMMYFUNCTION("IMPORTRANGE(""https://docs.google.com/spreadsheets/d/1XL5vhW3sbDhbH9Cz0tuDiY8C3ctxq1tqvaCgkFb8cCA/edit?usp=sharing"",""ชัยภูมิ!J107"")"),0)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IFERROR(__xludf.DUMMYFUNCTION("IMPORTRANGE(""https://docs.google.com/spreadsheets/d/1XL5vhW3sbDhbH9Cz0tuDiY8C3ctxq1tqvaCgkFb8cCA/edit?usp=sharing"",""ชัยภูมิ!J108"")"),0)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IFERROR(__xludf.DUMMYFUNCTION("IMPORTRANGE(""https://docs.google.com/spreadsheets/d/1XL5vhW3sbDhbH9Cz0tuDiY8C3ctxq1tqvaCgkFb8cCA/edit?usp=sharing"",""ชัยภูมิ!J109"")"),0)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IFERROR(__xludf.DUMMYFUNCTION("IMPORTRANGE(""https://docs.google.com/spreadsheets/d/1XL5vhW3sbDhbH9Cz0tuDiY8C3ctxq1tqvaCgkFb8cCA/edit?usp=sharing"",""ชัยภูมิ!I110"")"),0)</f>
        <v>0</v>
      </c>
      <c r="J185" s="204">
        <f ca="1">IFERROR(__xludf.DUMMYFUNCTION("IMPORTRANGE(""https://docs.google.com/spreadsheets/d/1XL5vhW3sbDhbH9Cz0tuDiY8C3ctxq1tqvaCgkFb8cCA/edit?usp=sharing"",""ชัยภูมิ!J110"")"),0)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IFERROR(__xludf.DUMMYFUNCTION("IMPORTRANGE(""https://docs.google.com/spreadsheets/d/1XL5vhW3sbDhbH9Cz0tuDiY8C3ctxq1tqvaCgkFb8cCA/edit?usp=sharing"",""ชัยภูมิ!I111"")"),0)</f>
        <v>0</v>
      </c>
      <c r="J186" s="204">
        <f ca="1">IFERROR(__xludf.DUMMYFUNCTION("IMPORTRANGE(""https://docs.google.com/spreadsheets/d/1XL5vhW3sbDhbH9Cz0tuDiY8C3ctxq1tqvaCgkFb8cCA/edit?usp=sharing"",""ชัยภูมิ!J111"")"),0)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IFERROR(__xludf.DUMMYFUNCTION("IMPORTRANGE(""https://docs.google.com/spreadsheets/d/1XL5vhW3sbDhbH9Cz0tuDiY8C3ctxq1tqvaCgkFb8cCA/edit?usp=sharing"",""ชัยภูมิ!J112"")"),0)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IFERROR(__xludf.DUMMYFUNCTION("IMPORTRANGE(""https://docs.google.com/spreadsheets/d/1XL5vhW3sbDhbH9Cz0tuDiY8C3ctxq1tqvaCgkFb8cCA/edit?usp=sharing"",""ชัยภูมิ!J113"")"),0)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IFERROR(__xludf.DUMMYFUNCTION("IMPORTRANGE(""https://docs.google.com/spreadsheets/d/1XL5vhW3sbDhbH9Cz0tuDiY8C3ctxq1tqvaCgkFb8cCA/edit?usp=sharing"",""ชัยภูมิ!I114"")"),50000)</f>
        <v>50000</v>
      </c>
      <c r="J189" s="284">
        <f ca="1">IFERROR(__xludf.DUMMYFUNCTION("IMPORTRANGE(""https://docs.google.com/spreadsheets/d/1XL5vhW3sbDhbH9Cz0tuDiY8C3ctxq1tqvaCgkFb8cCA/edit?usp=sharing"",""ชัยภูมิ!J114"")"),0)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IFERROR(__xludf.DUMMYFUNCTION("IMPORTRANGE(""https://docs.google.com/spreadsheets/d/1XL5vhW3sbDhbH9Cz0tuDiY8C3ctxq1tqvaCgkFb8cCA/edit?usp=sharing"",""ชัยภูมิ!J119"")"),0)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IFERROR(__xludf.DUMMYFUNCTION("IMPORTRANGE(""https://docs.google.com/spreadsheets/d/1XL5vhW3sbDhbH9Cz0tuDiY8C3ctxq1tqvaCgkFb8cCA/edit?usp=sharing"",""ชัยภูมิ!J120"")"),1)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IFERROR(__xludf.DUMMYFUNCTION("IMPORTRANGE(""https://docs.google.com/spreadsheets/d/1XL5vhW3sbDhbH9Cz0tuDiY8C3ctxq1tqvaCgkFb8cCA/edit?usp=sharing"",""ชัยภูมิ!J121"")"),1)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IFERROR(__xludf.DUMMYFUNCTION("IMPORTRANGE(""https://docs.google.com/spreadsheets/d/1XL5vhW3sbDhbH9Cz0tuDiY8C3ctxq1tqvaCgkFb8cCA/edit?usp=sharing"",""ชัยภูมิ!J122"")"),1)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IFERROR(__xludf.DUMMYFUNCTION("IMPORTRANGE(""https://docs.google.com/spreadsheets/d/1XL5vhW3sbDhbH9Cz0tuDiY8C3ctxq1tqvaCgkFb8cCA/edit?usp=sharing"",""ชัยภูมิ!I124"")"),50000)</f>
        <v>50000</v>
      </c>
      <c r="J199" s="189">
        <f ca="1">IFERROR(__xludf.DUMMYFUNCTION("IMPORTRANGE(""https://docs.google.com/spreadsheets/d/1XL5vhW3sbDhbH9Cz0tuDiY8C3ctxq1tqvaCgkFb8cCA/edit?usp=sharing"",""ชัยภูมิ!J124"")"),0)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IFERROR(__xludf.DUMMYFUNCTION("IMPORTRANGE(""https://docs.google.com/spreadsheets/d/1XL5vhW3sbDhbH9Cz0tuDiY8C3ctxq1tqvaCgkFb8cCA/edit?usp=sharing"",""ชัยภูมิ!I125"")"),50000)</f>
        <v>50000</v>
      </c>
      <c r="J200" s="189">
        <f ca="1">IFERROR(__xludf.DUMMYFUNCTION("IMPORTRANGE(""https://docs.google.com/spreadsheets/d/1XL5vhW3sbDhbH9Cz0tuDiY8C3ctxq1tqvaCgkFb8cCA/edit?usp=sharing"",""ชัยภูมิ!J125"")"),0)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IFERROR(__xludf.DUMMYFUNCTION("IMPORTRANGE(""https://docs.google.com/spreadsheets/d/1XL5vhW3sbDhbH9Cz0tuDiY8C3ctxq1tqvaCgkFb8cCA/edit?usp=sharing"",""ชัยภูมิ!I126"")"),0)</f>
        <v>0</v>
      </c>
      <c r="J201" s="189">
        <f ca="1">IFERROR(__xludf.DUMMYFUNCTION("IMPORTRANGE(""https://docs.google.com/spreadsheets/d/1XL5vhW3sbDhbH9Cz0tuDiY8C3ctxq1tqvaCgkFb8cCA/edit?usp=sharing"",""ชัยภูมิ!J126"")"),0)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IFERROR(__xludf.DUMMYFUNCTION("IMPORTRANGE(""https://docs.google.com/spreadsheets/d/1XL5vhW3sbDhbH9Cz0tuDiY8C3ctxq1tqvaCgkFb8cCA/edit?usp=sharing"",""ชัยภูมิ!J127"")"),0)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IFERROR(__xludf.DUMMYFUNCTION("IMPORTRANGE(""https://docs.google.com/spreadsheets/d/1XL5vhW3sbDhbH9Cz0tuDiY8C3ctxq1tqvaCgkFb8cCA/edit?usp=sharing"",""ชัยภูมิ!J128"")"),0)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IFERROR(__xludf.DUMMYFUNCTION("IMPORTRANGE(""https://docs.google.com/spreadsheets/d/1XL5vhW3sbDhbH9Cz0tuDiY8C3ctxq1tqvaCgkFb8cCA/edit?usp=sharing"",""ชัยภูมิ!I129"")"),0)</f>
        <v>0</v>
      </c>
      <c r="J204" s="284">
        <f ca="1">IFERROR(__xludf.DUMMYFUNCTION("IMPORTRANGE(""https://docs.google.com/spreadsheets/d/1XL5vhW3sbDhbH9Cz0tuDiY8C3ctxq1tqvaCgkFb8cCA/edit?usp=sharing"",""ชัยภูมิ!J129"")"),0)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IFERROR(__xludf.DUMMYFUNCTION("IMPORTRANGE(""https://docs.google.com/spreadsheets/d/1XL5vhW3sbDhbH9Cz0tuDiY8C3ctxq1tqvaCgkFb8cCA/edit?usp=sharing"",""ชัยภูมิ!J134"")"),0)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IFERROR(__xludf.DUMMYFUNCTION("IMPORTRANGE(""https://docs.google.com/spreadsheets/d/1XL5vhW3sbDhbH9Cz0tuDiY8C3ctxq1tqvaCgkFb8cCA/edit?usp=sharing"",""ชัยภูมิ!J135"")"),0)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IFERROR(__xludf.DUMMYFUNCTION("IMPORTRANGE(""https://docs.google.com/spreadsheets/d/1XL5vhW3sbDhbH9Cz0tuDiY8C3ctxq1tqvaCgkFb8cCA/edit?usp=sharing"",""ชัยภูมิ!J136"")"),0)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IFERROR(__xludf.DUMMYFUNCTION("IMPORTRANGE(""https://docs.google.com/spreadsheets/d/1XL5vhW3sbDhbH9Cz0tuDiY8C3ctxq1tqvaCgkFb8cCA/edit?usp=sharing"",""ชัยภูมิ!J137"")"),0)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IFERROR(__xludf.DUMMYFUNCTION("IMPORTRANGE(""https://docs.google.com/spreadsheets/d/1XL5vhW3sbDhbH9Cz0tuDiY8C3ctxq1tqvaCgkFb8cCA/edit?usp=sharing"",""ชัยภูมิ!I138"")"),0)</f>
        <v>0</v>
      </c>
      <c r="J213" s="204">
        <f ca="1">IFERROR(__xludf.DUMMYFUNCTION("IMPORTRANGE(""https://docs.google.com/spreadsheets/d/1XL5vhW3sbDhbH9Cz0tuDiY8C3ctxq1tqvaCgkFb8cCA/edit?usp=sharing"",""ชัยภูมิ!J138"")"),0)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IFERROR(__xludf.DUMMYFUNCTION("IMPORTRANGE(""https://docs.google.com/spreadsheets/d/1XL5vhW3sbDhbH9Cz0tuDiY8C3ctxq1tqvaCgkFb8cCA/edit?usp=sharing"",""ชัยภูมิ!I140"")"),0)</f>
        <v>0</v>
      </c>
      <c r="J215" s="204">
        <f ca="1">IFERROR(__xludf.DUMMYFUNCTION("IMPORTRANGE(""https://docs.google.com/spreadsheets/d/1XL5vhW3sbDhbH9Cz0tuDiY8C3ctxq1tqvaCgkFb8cCA/edit?usp=sharing"",""ชัยภูมิ!J140"")"),0)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IFERROR(__xludf.DUMMYFUNCTION("IMPORTRANGE(""https://docs.google.com/spreadsheets/d/1XL5vhW3sbDhbH9Cz0tuDiY8C3ctxq1tqvaCgkFb8cCA/edit?usp=sharing"",""ชัยภูมิ!I141"")"),0)</f>
        <v>0</v>
      </c>
      <c r="J216" s="204">
        <f ca="1">IFERROR(__xludf.DUMMYFUNCTION("IMPORTRANGE(""https://docs.google.com/spreadsheets/d/1XL5vhW3sbDhbH9Cz0tuDiY8C3ctxq1tqvaCgkFb8cCA/edit?usp=sharing"",""ชัยภูมิ!J141"")"),0)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IFERROR(__xludf.DUMMYFUNCTION("IMPORTRANGE(""https://docs.google.com/spreadsheets/d/1XL5vhW3sbDhbH9Cz0tuDiY8C3ctxq1tqvaCgkFb8cCA/edit?usp=sharing"",""ชัยภูมิ!J142"")"),0)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IFERROR(__xludf.DUMMYFUNCTION("IMPORTRANGE(""https://docs.google.com/spreadsheets/d/1XL5vhW3sbDhbH9Cz0tuDiY8C3ctxq1tqvaCgkFb8cCA/edit?usp=sharing"",""ชัยภูมิ!J143"")"),0)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IFERROR(__xludf.DUMMYFUNCTION("IMPORTRANGE(""https://docs.google.com/spreadsheets/d/1XL5vhW3sbDhbH9Cz0tuDiY8C3ctxq1tqvaCgkFb8cCA/edit?usp=sharing"",""ชัยภูมิ!I144"")"),12)</f>
        <v>12</v>
      </c>
      <c r="J219" s="267">
        <f ca="1">IFERROR(__xludf.DUMMYFUNCTION("IMPORTRANGE(""https://docs.google.com/spreadsheets/d/1XL5vhW3sbDhbH9Cz0tuDiY8C3ctxq1tqvaCgkFb8cCA/edit?usp=sharing"",""ชัยภูมิ!J144"")"),12)</f>
        <v>12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54" t="s">
        <v>17</v>
      </c>
      <c r="E220" s="555"/>
      <c r="F220" s="555"/>
      <c r="G220" s="555"/>
      <c r="H220" s="149" t="s">
        <v>12</v>
      </c>
      <c r="I220" s="162"/>
      <c r="J220" s="162"/>
      <c r="K220" s="163"/>
      <c r="L220" s="152">
        <f t="shared" ref="L220:N220" ca="1" si="72">L221+L222</f>
        <v>18380</v>
      </c>
      <c r="M220" s="152">
        <f t="shared" ca="1" si="72"/>
        <v>18380</v>
      </c>
      <c r="N220" s="152">
        <f t="shared" ca="1" si="72"/>
        <v>18380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18380</v>
      </c>
      <c r="M222" s="157">
        <f t="shared" ca="1" si="76"/>
        <v>18380</v>
      </c>
      <c r="N222" s="157">
        <f t="shared" ca="1" si="76"/>
        <v>18380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52" t="s">
        <v>20</v>
      </c>
      <c r="E223" s="553"/>
      <c r="F223" s="55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18380</v>
      </c>
      <c r="M224" s="168">
        <f ca="1">IFERROR(__xludf.DUMMYFUNCTION("IMPORTRANGE(""https://docs.google.com/spreadsheets/d/1Yj_ptqi66GCucihVvJfMjLAmec39IyEx_6qawtMGysU/edit?usp=sharing"",""สบก!BS40"")"),18380)</f>
        <v>18380</v>
      </c>
      <c r="N224" s="169">
        <f ca="1">IFERROR(__xludf.DUMMYFUNCTION("IMPORTRANGE(""https://docs.google.com/spreadsheets/d/1Yj_ptqi66GCucihVvJfMjLAmec39IyEx_6qawtMGysU/edit?usp=sharing"",""สบก!BT40"")"),18380)</f>
        <v>18380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IFERROR(__xludf.DUMMYFUNCTION("IMPORTRANGE(""https://docs.google.com/spreadsheets/d/1Yj_ptqi66GCucihVvJfMjLAmec39IyEx_6qawtMGysU/edit?usp=sharing"",""สบก!BO40"")"),0)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IFERROR(__xludf.DUMMYFUNCTION("IMPORTRANGE(""https://docs.google.com/spreadsheets/d/1Yj_ptqi66GCucihVvJfMjLAmec39IyEx_6qawtMGysU/edit?usp=sharing"",""สบก!BP40"")"),18380)</f>
        <v>18380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52" t="s">
        <v>23</v>
      </c>
      <c r="E227" s="55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IFERROR(__xludf.DUMMYFUNCTION("IMPORTRANGE(""https://docs.google.com/spreadsheets/d/1Yj_ptqi66GCucihVvJfMjLAmec39IyEx_6qawtMGysU/edit?usp=sharing"",""สบก!BQ40"")"),0)</f>
        <v>0</v>
      </c>
      <c r="M228" s="49"/>
      <c r="N228" s="49">
        <f ca="1">IFERROR(__xludf.DUMMYFUNCTION("IMPORTRANGE(""https://docs.google.com/spreadsheets/d/1Yj_ptqi66GCucihVvJfMjLAmec39IyEx_6qawtMGysU/edit?usp=sharing"",""สบก!BU40"")"),0)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IFERROR(__xludf.DUMMYFUNCTION("IMPORTRANGE(""https://docs.google.com/spreadsheets/d/1XL5vhW3sbDhbH9Cz0tuDiY8C3ctxq1tqvaCgkFb8cCA/edit?usp=sharing"",""ชัยภูมิ!I149"")"),12)</f>
        <v>12</v>
      </c>
      <c r="J229" s="267">
        <f ca="1">IFERROR(__xludf.DUMMYFUNCTION("IMPORTRANGE(""https://docs.google.com/spreadsheets/d/1XL5vhW3sbDhbH9Cz0tuDiY8C3ctxq1tqvaCgkFb8cCA/edit?usp=sharing"",""ชัยภูมิ!J149"")"),12)</f>
        <v>12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IFERROR(__xludf.DUMMYFUNCTION("IMPORTRANGE(""https://docs.google.com/spreadsheets/d/1XL5vhW3sbDhbH9Cz0tuDiY8C3ctxq1tqvaCgkFb8cCA/edit?usp=sharing"",""ชัยภูมิ!J151"")"),0)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IFERROR(__xludf.DUMMYFUNCTION("IMPORTRANGE(""https://docs.google.com/spreadsheets/d/1XL5vhW3sbDhbH9Cz0tuDiY8C3ctxq1tqvaCgkFb8cCA/edit?usp=sharing"",""ชัยภูมิ!J152"")"),1)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IFERROR(__xludf.DUMMYFUNCTION("IMPORTRANGE(""https://docs.google.com/spreadsheets/d/1XL5vhW3sbDhbH9Cz0tuDiY8C3ctxq1tqvaCgkFb8cCA/edit?usp=sharing"",""ชัยภูมิ!J153"")"),1)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IFERROR(__xludf.DUMMYFUNCTION("IMPORTRANGE(""https://docs.google.com/spreadsheets/d/1XL5vhW3sbDhbH9Cz0tuDiY8C3ctxq1tqvaCgkFb8cCA/edit?usp=sharing"",""ชัยภูมิ!J154"")"),0)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IFERROR(__xludf.DUMMYFUNCTION("IMPORTRANGE(""https://docs.google.com/spreadsheets/d/1XL5vhW3sbDhbH9Cz0tuDiY8C3ctxq1tqvaCgkFb8cCA/edit?usp=sharing"",""ชัยภูมิ!I155"")"),12)</f>
        <v>12</v>
      </c>
      <c r="J235" s="189">
        <f ca="1">IFERROR(__xludf.DUMMYFUNCTION("IMPORTRANGE(""https://docs.google.com/spreadsheets/d/1XL5vhW3sbDhbH9Cz0tuDiY8C3ctxq1tqvaCgkFb8cCA/edit?usp=sharing"",""ชัยภูมิ!J155"")"),12)</f>
        <v>12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IFERROR(__xludf.DUMMYFUNCTION("IMPORTRANGE(""https://docs.google.com/spreadsheets/d/1XL5vhW3sbDhbH9Cz0tuDiY8C3ctxq1tqvaCgkFb8cCA/edit?usp=sharing"",""ชัยภูมิ!J156"")"),0)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IFERROR(__xludf.DUMMYFUNCTION("IMPORTRANGE(""https://docs.google.com/spreadsheets/d/1XL5vhW3sbDhbH9Cz0tuDiY8C3ctxq1tqvaCgkFb8cCA/edit?usp=sharing"",""ชัยภูมิ!J157"")"),0)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IFERROR(__xludf.DUMMYFUNCTION("IMPORTRANGE(""https://docs.google.com/spreadsheets/d/1XL5vhW3sbDhbH9Cz0tuDiY8C3ctxq1tqvaCgkFb8cCA/edit?usp=sharing"",""ชัยภูมิ!I158"")"),0)</f>
        <v>0</v>
      </c>
      <c r="J238" s="267">
        <f ca="1">IFERROR(__xludf.DUMMYFUNCTION("IMPORTRANGE(""https://docs.google.com/spreadsheets/d/1XL5vhW3sbDhbH9Cz0tuDiY8C3ctxq1tqvaCgkFb8cCA/edit?usp=sharing"",""ชัยภูมิ!J158"")"),0)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IFERROR(__xludf.DUMMYFUNCTION("IMPORTRANGE(""https://docs.google.com/spreadsheets/d/1XL5vhW3sbDhbH9Cz0tuDiY8C3ctxq1tqvaCgkFb8cCA/edit?usp=sharing"",""ชัยภูมิ!J159"")"),"")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IFERROR(__xludf.DUMMYFUNCTION("IMPORTRANGE(""https://docs.google.com/spreadsheets/d/1XL5vhW3sbDhbH9Cz0tuDiY8C3ctxq1tqvaCgkFb8cCA/edit?usp=sharing"",""ชัยภูมิ!J161"")"),0)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IFERROR(__xludf.DUMMYFUNCTION("IMPORTRANGE(""https://docs.google.com/spreadsheets/d/1XL5vhW3sbDhbH9Cz0tuDiY8C3ctxq1tqvaCgkFb8cCA/edit?usp=sharing"",""ชัยภูมิ!J162"")"),0)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IFERROR(__xludf.DUMMYFUNCTION("IMPORTRANGE(""https://docs.google.com/spreadsheets/d/1XL5vhW3sbDhbH9Cz0tuDiY8C3ctxq1tqvaCgkFb8cCA/edit?usp=sharing"",""ชัยภูมิ!J163"")"),0)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IFERROR(__xludf.DUMMYFUNCTION("IMPORTRANGE(""https://docs.google.com/spreadsheets/d/1XL5vhW3sbDhbH9Cz0tuDiY8C3ctxq1tqvaCgkFb8cCA/edit?usp=sharing"",""ชัยภูมิ!I164"")"),0)</f>
        <v>0</v>
      </c>
      <c r="J244" s="188">
        <f ca="1">IFERROR(__xludf.DUMMYFUNCTION("IMPORTRANGE(""https://docs.google.com/spreadsheets/d/1XL5vhW3sbDhbH9Cz0tuDiY8C3ctxq1tqvaCgkFb8cCA/edit?usp=sharing"",""ชัยภูมิ!J164"")"),0)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IFERROR(__xludf.DUMMYFUNCTION("IMPORTRANGE(""https://docs.google.com/spreadsheets/d/1XL5vhW3sbDhbH9Cz0tuDiY8C3ctxq1tqvaCgkFb8cCA/edit?usp=sharing"",""ชัยภูมิ!J165"")"),0)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IFERROR(__xludf.DUMMYFUNCTION("IMPORTRANGE(""https://docs.google.com/spreadsheets/d/1XL5vhW3sbDhbH9Cz0tuDiY8C3ctxq1tqvaCgkFb8cCA/edit?usp=sharing"",""ชัยภูมิ!J166"")"),0)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IFERROR(__xludf.DUMMYFUNCTION("IMPORTRANGE(""https://docs.google.com/spreadsheets/d/1XL5vhW3sbDhbH9Cz0tuDiY8C3ctxq1tqvaCgkFb8cCA/edit?usp=sharing"",""ชัยภูมิ!I169"")"),0)</f>
        <v>0</v>
      </c>
      <c r="J249" s="316">
        <f ca="1">IFERROR(__xludf.DUMMYFUNCTION("IMPORTRANGE(""https://docs.google.com/spreadsheets/d/1XL5vhW3sbDhbH9Cz0tuDiY8C3ctxq1tqvaCgkFb8cCA/edit?usp=sharing"",""ชัยภูมิ!J169"")"),0)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54" t="s">
        <v>17</v>
      </c>
      <c r="E250" s="555"/>
      <c r="F250" s="555"/>
      <c r="G250" s="55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52" t="s">
        <v>20</v>
      </c>
      <c r="E253" s="553"/>
      <c r="F253" s="55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IFERROR(__xludf.DUMMYFUNCTION("IMPORTRANGE(""https://docs.google.com/spreadsheets/d/1Yj_ptqi66GCucihVvJfMjLAmec39IyEx_6qawtMGysU/edit?usp=sharing"",""สบก!CB40"")"),0)</f>
        <v>0</v>
      </c>
      <c r="N254" s="169">
        <f ca="1">IFERROR(__xludf.DUMMYFUNCTION("IMPORTRANGE(""https://docs.google.com/spreadsheets/d/1Yj_ptqi66GCucihVvJfMjLAmec39IyEx_6qawtMGysU/edit?usp=sharing"",""สบก!CC40"")"),0)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IFERROR(__xludf.DUMMYFUNCTION("IMPORTRANGE(""https://docs.google.com/spreadsheets/d/1Yj_ptqi66GCucihVvJfMjLAmec39IyEx_6qawtMGysU/edit?usp=sharing"",""สบก!BX40"")"),0)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IFERROR(__xludf.DUMMYFUNCTION("IMPORTRANGE(""https://docs.google.com/spreadsheets/d/1Yj_ptqi66GCucihVvJfMjLAmec39IyEx_6qawtMGysU/edit?usp=sharing"",""สบก!BY40"")"),0)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52" t="s">
        <v>23</v>
      </c>
      <c r="E257" s="55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IFERROR(__xludf.DUMMYFUNCTION("IMPORTRANGE(""https://docs.google.com/spreadsheets/d/1Yj_ptqi66GCucihVvJfMjLAmec39IyEx_6qawtMGysU/edit?usp=sharing"",""สบก!BZ40"")"),0)</f>
        <v>0</v>
      </c>
      <c r="M258" s="49"/>
      <c r="N258" s="49">
        <f ca="1">IFERROR(__xludf.DUMMYFUNCTION("IMPORTRANGE(""https://docs.google.com/spreadsheets/d/1Yj_ptqi66GCucihVvJfMjLAmec39IyEx_6qawtMGysU/edit?usp=sharing"",""สบก!CD40"")"),0)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IFERROR(__xludf.DUMMYFUNCTION("IMPORTRANGE(""https://docs.google.com/spreadsheets/d/1XL5vhW3sbDhbH9Cz0tuDiY8C3ctxq1tqvaCgkFb8cCA/edit?usp=sharing"",""ชัยภูมิ!J175"")"),0)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IFERROR(__xludf.DUMMYFUNCTION("IMPORTRANGE(""https://docs.google.com/spreadsheets/d/1XL5vhW3sbDhbH9Cz0tuDiY8C3ctxq1tqvaCgkFb8cCA/edit?usp=sharing"",""ชัยภูมิ!J176"")"),0)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IFERROR(__xludf.DUMMYFUNCTION("IMPORTRANGE(""https://docs.google.com/spreadsheets/d/1XL5vhW3sbDhbH9Cz0tuDiY8C3ctxq1tqvaCgkFb8cCA/edit?usp=sharing"",""ชัยภูมิ!J177"")"),0)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IFERROR(__xludf.DUMMYFUNCTION("IMPORTRANGE(""https://docs.google.com/spreadsheets/d/1XL5vhW3sbDhbH9Cz0tuDiY8C3ctxq1tqvaCgkFb8cCA/edit?usp=sharing"",""ชัยภูมิ!J178"")"),0)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IFERROR(__xludf.DUMMYFUNCTION("IMPORTRANGE(""https://docs.google.com/spreadsheets/d/1XL5vhW3sbDhbH9Cz0tuDiY8C3ctxq1tqvaCgkFb8cCA/edit?usp=sharing"",""ชัยภูมิ!I179"")"),0)</f>
        <v>0</v>
      </c>
      <c r="J264" s="189">
        <f ca="1">IFERROR(__xludf.DUMMYFUNCTION("IMPORTRANGE(""https://docs.google.com/spreadsheets/d/1XL5vhW3sbDhbH9Cz0tuDiY8C3ctxq1tqvaCgkFb8cCA/edit?usp=sharing"",""ชัยภูมิ!J179"")"),0)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IFERROR(__xludf.DUMMYFUNCTION("IMPORTRANGE(""https://docs.google.com/spreadsheets/d/1XL5vhW3sbDhbH9Cz0tuDiY8C3ctxq1tqvaCgkFb8cCA/edit?usp=sharing"",""ชัยภูมิ!I180"")"),0)</f>
        <v>0</v>
      </c>
      <c r="J265" s="189">
        <f ca="1">IFERROR(__xludf.DUMMYFUNCTION("IMPORTRANGE(""https://docs.google.com/spreadsheets/d/1XL5vhW3sbDhbH9Cz0tuDiY8C3ctxq1tqvaCgkFb8cCA/edit?usp=sharing"",""ชัยภูมิ!J180"")"),0)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IFERROR(__xludf.DUMMYFUNCTION("IMPORTRANGE(""https://docs.google.com/spreadsheets/d/1XL5vhW3sbDhbH9Cz0tuDiY8C3ctxq1tqvaCgkFb8cCA/edit?usp=sharing"",""ชัยภูมิ!I181"")"),0)</f>
        <v>0</v>
      </c>
      <c r="J266" s="189">
        <f ca="1">IFERROR(__xludf.DUMMYFUNCTION("IMPORTRANGE(""https://docs.google.com/spreadsheets/d/1XL5vhW3sbDhbH9Cz0tuDiY8C3ctxq1tqvaCgkFb8cCA/edit?usp=sharing"",""ชัยภูมิ!J181"")"),0)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IFERROR(__xludf.DUMMYFUNCTION("IMPORTRANGE(""https://docs.google.com/spreadsheets/d/1XL5vhW3sbDhbH9Cz0tuDiY8C3ctxq1tqvaCgkFb8cCA/edit?usp=sharing"",""ชัยภูมิ!I182"")"),0)</f>
        <v>0</v>
      </c>
      <c r="J267" s="189">
        <f ca="1">IFERROR(__xludf.DUMMYFUNCTION("IMPORTRANGE(""https://docs.google.com/spreadsheets/d/1XL5vhW3sbDhbH9Cz0tuDiY8C3ctxq1tqvaCgkFb8cCA/edit?usp=sharing"",""ชัยภูมิ!J182"")"),0)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IFERROR(__xludf.DUMMYFUNCTION("IMPORTRANGE(""https://docs.google.com/spreadsheets/d/1XL5vhW3sbDhbH9Cz0tuDiY8C3ctxq1tqvaCgkFb8cCA/edit?usp=sharing"",""ชัยภูมิ!J183"")"),0)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IFERROR(__xludf.DUMMYFUNCTION("IMPORTRANGE(""https://docs.google.com/spreadsheets/d/1XL5vhW3sbDhbH9Cz0tuDiY8C3ctxq1tqvaCgkFb8cCA/edit?usp=sharing"",""ชัยภูมิ!J184"")"),0)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IFERROR(__xludf.DUMMYFUNCTION("IMPORTRANGE(""https://docs.google.com/spreadsheets/d/1XL5vhW3sbDhbH9Cz0tuDiY8C3ctxq1tqvaCgkFb8cCA/edit?usp=sharing"",""ชัยภูมิ!I185"")"),15)</f>
        <v>15</v>
      </c>
      <c r="J270" s="316">
        <f ca="1">IFERROR(__xludf.DUMMYFUNCTION("IMPORTRANGE(""https://docs.google.com/spreadsheets/d/1XL5vhW3sbDhbH9Cz0tuDiY8C3ctxq1tqvaCgkFb8cCA/edit?usp=sharing"",""ชัยภูมิ!J185"")"),15)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54" t="s">
        <v>17</v>
      </c>
      <c r="E271" s="555"/>
      <c r="F271" s="555"/>
      <c r="G271" s="555"/>
      <c r="H271" s="149" t="s">
        <v>12</v>
      </c>
      <c r="I271" s="162"/>
      <c r="J271" s="162"/>
      <c r="K271" s="163"/>
      <c r="L271" s="152">
        <f t="shared" ref="L271:N271" ca="1" si="83">L272+L273</f>
        <v>319200</v>
      </c>
      <c r="M271" s="152">
        <f t="shared" ca="1" si="83"/>
        <v>230250</v>
      </c>
      <c r="N271" s="152">
        <f t="shared" ca="1" si="83"/>
        <v>139650</v>
      </c>
      <c r="O271" s="151">
        <f t="shared" ref="O271:O273" ca="1" si="84">IF(L271&gt;0,N271*100/L271,0)</f>
        <v>43.75</v>
      </c>
      <c r="P271" s="151">
        <f t="shared" ref="P271:P273" ca="1" si="85">IF(M271&gt;0,N271*100/M271,0)</f>
        <v>60.651465798045599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319200</v>
      </c>
      <c r="M273" s="157">
        <f t="shared" ca="1" si="87"/>
        <v>230250</v>
      </c>
      <c r="N273" s="157">
        <f t="shared" ca="1" si="87"/>
        <v>139650</v>
      </c>
      <c r="O273" s="156">
        <f t="shared" ca="1" si="84"/>
        <v>43.75</v>
      </c>
      <c r="P273" s="156">
        <f t="shared" ca="1" si="85"/>
        <v>60.651465798045599</v>
      </c>
    </row>
    <row r="274" spans="1:16" ht="21.75" customHeight="1" x14ac:dyDescent="0.45">
      <c r="A274" s="158"/>
      <c r="B274" s="159"/>
      <c r="C274" s="159" t="s">
        <v>16</v>
      </c>
      <c r="D274" s="552" t="s">
        <v>20</v>
      </c>
      <c r="E274" s="553"/>
      <c r="F274" s="55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319200</v>
      </c>
      <c r="M275" s="168">
        <f ca="1">IFERROR(__xludf.DUMMYFUNCTION("IMPORTRANGE(""https://docs.google.com/spreadsheets/d/1Yj_ptqi66GCucihVvJfMjLAmec39IyEx_6qawtMGysU/edit?usp=sharing"",""สบก!CK40"")"),230250)</f>
        <v>230250</v>
      </c>
      <c r="N275" s="169">
        <f ca="1">IFERROR(__xludf.DUMMYFUNCTION("IMPORTRANGE(""https://docs.google.com/spreadsheets/d/1Yj_ptqi66GCucihVvJfMjLAmec39IyEx_6qawtMGysU/edit?usp=sharing"",""สบก!CL40"")"),139650)</f>
        <v>139650</v>
      </c>
      <c r="O275" s="169">
        <f ca="1">IF(L275&gt;0,N275*100/L275,0)</f>
        <v>43.75</v>
      </c>
      <c r="P275" s="169">
        <f ca="1">IF(M275&gt;0,N275*100/M275,0)</f>
        <v>60.651465798045599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IFERROR(__xludf.DUMMYFUNCTION("IMPORTRANGE(""https://docs.google.com/spreadsheets/d/1Yj_ptqi66GCucihVvJfMjLAmec39IyEx_6qawtMGysU/edit?usp=sharing"",""สบก!CG40"")"),264000)</f>
        <v>264000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IFERROR(__xludf.DUMMYFUNCTION("IMPORTRANGE(""https://docs.google.com/spreadsheets/d/1Yj_ptqi66GCucihVvJfMjLAmec39IyEx_6qawtMGysU/edit?usp=sharing"",""สบก!CH40"")"),55200)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52" t="s">
        <v>23</v>
      </c>
      <c r="E278" s="55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IFERROR(__xludf.DUMMYFUNCTION("IMPORTRANGE(""https://docs.google.com/spreadsheets/d/1Yj_ptqi66GCucihVvJfMjLAmec39IyEx_6qawtMGysU/edit?usp=sharing"",""สบก!CI40"")"),0)</f>
        <v>0</v>
      </c>
      <c r="M279" s="49"/>
      <c r="N279" s="49">
        <f ca="1">IFERROR(__xludf.DUMMYFUNCTION("IMPORTRANGE(""https://docs.google.com/spreadsheets/d/1Yj_ptqi66GCucihVvJfMjLAmec39IyEx_6qawtMGysU/edit?usp=sharing"",""สบก!CM40"")"),0)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IFERROR(__xludf.DUMMYFUNCTION("IMPORTRANGE(""https://docs.google.com/spreadsheets/d/1XL5vhW3sbDhbH9Cz0tuDiY8C3ctxq1tqvaCgkFb8cCA/edit?usp=sharing"",""ชัยภูมิ!J191"")"),0)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IFERROR(__xludf.DUMMYFUNCTION("IMPORTRANGE(""https://docs.google.com/spreadsheets/d/1XL5vhW3sbDhbH9Cz0tuDiY8C3ctxq1tqvaCgkFb8cCA/edit?usp=sharing"",""ชัยภูมิ!J192"")"),1)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IFERROR(__xludf.DUMMYFUNCTION("IMPORTRANGE(""https://docs.google.com/spreadsheets/d/1XL5vhW3sbDhbH9Cz0tuDiY8C3ctxq1tqvaCgkFb8cCA/edit?usp=sharing"",""ชัยภูมิ!J193"")"),1)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IFERROR(__xludf.DUMMYFUNCTION("IMPORTRANGE(""https://docs.google.com/spreadsheets/d/1XL5vhW3sbDhbH9Cz0tuDiY8C3ctxq1tqvaCgkFb8cCA/edit?usp=sharing"",""ชัยภูมิ!J194"")"),0)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IFERROR(__xludf.DUMMYFUNCTION("IMPORTRANGE(""https://docs.google.com/spreadsheets/d/1XL5vhW3sbDhbH9Cz0tuDiY8C3ctxq1tqvaCgkFb8cCA/edit?usp=sharing"",""ชัยภูมิ!I195"")"),15)</f>
        <v>15</v>
      </c>
      <c r="J285" s="189">
        <f ca="1">IFERROR(__xludf.DUMMYFUNCTION("IMPORTRANGE(""https://docs.google.com/spreadsheets/d/1XL5vhW3sbDhbH9Cz0tuDiY8C3ctxq1tqvaCgkFb8cCA/edit?usp=sharing"",""ชัยภูมิ!J195"")"),15)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IFERROR(__xludf.DUMMYFUNCTION("IMPORTRANGE(""https://docs.google.com/spreadsheets/d/1XL5vhW3sbDhbH9Cz0tuDiY8C3ctxq1tqvaCgkFb8cCA/edit?usp=sharing"",""ชัยภูมิ!J196"")"),0)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IFERROR(__xludf.DUMMYFUNCTION("IMPORTRANGE(""https://docs.google.com/spreadsheets/d/1XL5vhW3sbDhbH9Cz0tuDiY8C3ctxq1tqvaCgkFb8cCA/edit?usp=sharing"",""ชัยภูมิ!J197"")"),0)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IFERROR(__xludf.DUMMYFUNCTION("IMPORTRANGE(""https://docs.google.com/spreadsheets/d/1XL5vhW3sbDhbH9Cz0tuDiY8C3ctxq1tqvaCgkFb8cCA/edit?usp=sharing"",""ชัยภูมิ!I199"")"),0)</f>
        <v>0</v>
      </c>
      <c r="J289" s="316">
        <f ca="1">IFERROR(__xludf.DUMMYFUNCTION("IMPORTRANGE(""https://docs.google.com/spreadsheets/d/1XL5vhW3sbDhbH9Cz0tuDiY8C3ctxq1tqvaCgkFb8cCA/edit?usp=sharing"",""ชัยภูมิ!J199"")"),0)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54" t="s">
        <v>17</v>
      </c>
      <c r="E290" s="555"/>
      <c r="F290" s="555"/>
      <c r="G290" s="55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52" t="s">
        <v>20</v>
      </c>
      <c r="E293" s="553"/>
      <c r="F293" s="55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IFERROR(__xludf.DUMMYFUNCTION("IMPORTRANGE(""https://docs.google.com/spreadsheets/d/1Yj_ptqi66GCucihVvJfMjLAmec39IyEx_6qawtMGysU/edit?usp=sharing"",""สบก!CT40"")"),0)</f>
        <v>0</v>
      </c>
      <c r="N294" s="169">
        <f ca="1">IFERROR(__xludf.DUMMYFUNCTION("IMPORTRANGE(""https://docs.google.com/spreadsheets/d/1Yj_ptqi66GCucihVvJfMjLAmec39IyEx_6qawtMGysU/edit?usp=sharing"",""สบก!CU40"")"),0)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IFERROR(__xludf.DUMMYFUNCTION("IMPORTRANGE(""https://docs.google.com/spreadsheets/d/1Yj_ptqi66GCucihVvJfMjLAmec39IyEx_6qawtMGysU/edit?usp=sharing"",""สบก!CP40"")"),0)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IFERROR(__xludf.DUMMYFUNCTION("IMPORTRANGE(""https://docs.google.com/spreadsheets/d/1Yj_ptqi66GCucihVvJfMjLAmec39IyEx_6qawtMGysU/edit?usp=sharing"",""สบก!CQ40"")"),0)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52" t="s">
        <v>23</v>
      </c>
      <c r="E297" s="55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IFERROR(__xludf.DUMMYFUNCTION("IMPORTRANGE(""https://docs.google.com/spreadsheets/d/1Yj_ptqi66GCucihVvJfMjLAmec39IyEx_6qawtMGysU/edit?usp=sharing"",""สบก!CR40"")"),0)</f>
        <v>0</v>
      </c>
      <c r="M298" s="49"/>
      <c r="N298" s="49">
        <f ca="1">IFERROR(__xludf.DUMMYFUNCTION("IMPORTRANGE(""https://docs.google.com/spreadsheets/d/1Yj_ptqi66GCucihVvJfMjLAmec39IyEx_6qawtMGysU/edit?usp=sharing"",""สบก!CV40"")"),0)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IFERROR(__xludf.DUMMYFUNCTION("IMPORTRANGE(""https://docs.google.com/spreadsheets/d/1XL5vhW3sbDhbH9Cz0tuDiY8C3ctxq1tqvaCgkFb8cCA/edit?usp=sharing"",""ชัยภูมิ!J205"")"),0)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IFERROR(__xludf.DUMMYFUNCTION("IMPORTRANGE(""https://docs.google.com/spreadsheets/d/1XL5vhW3sbDhbH9Cz0tuDiY8C3ctxq1tqvaCgkFb8cCA/edit?usp=sharing"",""ชัยภูมิ!J206"")"),0)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IFERROR(__xludf.DUMMYFUNCTION("IMPORTRANGE(""https://docs.google.com/spreadsheets/d/1XL5vhW3sbDhbH9Cz0tuDiY8C3ctxq1tqvaCgkFb8cCA/edit?usp=sharing"",""ชัยภูมิ!J207"")"),0)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IFERROR(__xludf.DUMMYFUNCTION("IMPORTRANGE(""https://docs.google.com/spreadsheets/d/1XL5vhW3sbDhbH9Cz0tuDiY8C3ctxq1tqvaCgkFb8cCA/edit?usp=sharing"",""ชัยภูมิ!J208"")"),0)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IFERROR(__xludf.DUMMYFUNCTION("IMPORTRANGE(""https://docs.google.com/spreadsheets/d/1XL5vhW3sbDhbH9Cz0tuDiY8C3ctxq1tqvaCgkFb8cCA/edit?usp=sharing"",""ชัยภูมิ!I209"")"),0)</f>
        <v>0</v>
      </c>
      <c r="J304" s="204">
        <f ca="1">IFERROR(__xludf.DUMMYFUNCTION("IMPORTRANGE(""https://docs.google.com/spreadsheets/d/1XL5vhW3sbDhbH9Cz0tuDiY8C3ctxq1tqvaCgkFb8cCA/edit?usp=sharing"",""ชัยภูมิ!J209"")"),0)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IFERROR(__xludf.DUMMYFUNCTION("IMPORTRANGE(""https://docs.google.com/spreadsheets/d/1XL5vhW3sbDhbH9Cz0tuDiY8C3ctxq1tqvaCgkFb8cCA/edit?usp=sharing"",""ชัยภูมิ!I211"")"),0)</f>
        <v>0</v>
      </c>
      <c r="J306" s="204">
        <f ca="1">IFERROR(__xludf.DUMMYFUNCTION("IMPORTRANGE(""https://docs.google.com/spreadsheets/d/1XL5vhW3sbDhbH9Cz0tuDiY8C3ctxq1tqvaCgkFb8cCA/edit?usp=sharing"",""ชัยภูมิ!J211"")"),0)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IFERROR(__xludf.DUMMYFUNCTION("IMPORTRANGE(""https://docs.google.com/spreadsheets/d/1XL5vhW3sbDhbH9Cz0tuDiY8C3ctxq1tqvaCgkFb8cCA/edit?usp=sharing"",""ชัยภูมิ!J212"")"),0)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IFERROR(__xludf.DUMMYFUNCTION("IMPORTRANGE(""https://docs.google.com/spreadsheets/d/1XL5vhW3sbDhbH9Cz0tuDiY8C3ctxq1tqvaCgkFb8cCA/edit?usp=sharing"",""ชัยภูมิ!J213"")"),0)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IFERROR(__xludf.DUMMYFUNCTION("IMPORTRANGE(""https://docs.google.com/spreadsheets/d/1XL5vhW3sbDhbH9Cz0tuDiY8C3ctxq1tqvaCgkFb8cCA/edit?usp=sharing"",""ชัยภูมิ!I214"")"),0)</f>
        <v>0</v>
      </c>
      <c r="J309" s="333">
        <f ca="1">IFERROR(__xludf.DUMMYFUNCTION("IMPORTRANGE(""https://docs.google.com/spreadsheets/d/1XL5vhW3sbDhbH9Cz0tuDiY8C3ctxq1tqvaCgkFb8cCA/edit?usp=sharing"",""ชัยภูมิ!J214"")"),0)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54" t="s">
        <v>17</v>
      </c>
      <c r="E310" s="555"/>
      <c r="F310" s="555"/>
      <c r="G310" s="55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52" t="s">
        <v>20</v>
      </c>
      <c r="E313" s="553"/>
      <c r="F313" s="55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IFERROR(__xludf.DUMMYFUNCTION("IMPORTRANGE(""https://docs.google.com/spreadsheets/d/1Yj_ptqi66GCucihVvJfMjLAmec39IyEx_6qawtMGysU/edit?usp=sharing"",""สบก!DC40"")"),0)</f>
        <v>0</v>
      </c>
      <c r="N314" s="169">
        <f ca="1">IFERROR(__xludf.DUMMYFUNCTION("IMPORTRANGE(""https://docs.google.com/spreadsheets/d/1Yj_ptqi66GCucihVvJfMjLAmec39IyEx_6qawtMGysU/edit?usp=sharing"",""สบก!DD40"")"),0)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IFERROR(__xludf.DUMMYFUNCTION("IMPORTRANGE(""https://docs.google.com/spreadsheets/d/1Yj_ptqi66GCucihVvJfMjLAmec39IyEx_6qawtMGysU/edit?usp=sharing"",""สบก!CY40"")"),0)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IFERROR(__xludf.DUMMYFUNCTION("IMPORTRANGE(""https://docs.google.com/spreadsheets/d/1Yj_ptqi66GCucihVvJfMjLAmec39IyEx_6qawtMGysU/edit?usp=sharing"",""สบก!CZ40"")"),0)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52" t="s">
        <v>23</v>
      </c>
      <c r="E317" s="55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IFERROR(__xludf.DUMMYFUNCTION("IMPORTRANGE(""https://docs.google.com/spreadsheets/d/1Yj_ptqi66GCucihVvJfMjLAmec39IyEx_6qawtMGysU/edit?usp=sharing"",""สบก!DA40"")"),0)</f>
        <v>0</v>
      </c>
      <c r="M318" s="49"/>
      <c r="N318" s="49">
        <f ca="1">IFERROR(__xludf.DUMMYFUNCTION("IMPORTRANGE(""https://docs.google.com/spreadsheets/d/1Yj_ptqi66GCucihVvJfMjLAmec39IyEx_6qawtMGysU/edit?usp=sharing"",""สบก!DE40"")"),0)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IFERROR(__xludf.DUMMYFUNCTION("IMPORTRANGE(""https://docs.google.com/spreadsheets/d/1XL5vhW3sbDhbH9Cz0tuDiY8C3ctxq1tqvaCgkFb8cCA/edit?usp=sharing"",""ชัยภูมิ!J220"")"),0)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IFERROR(__xludf.DUMMYFUNCTION("IMPORTRANGE(""https://docs.google.com/spreadsheets/d/1XL5vhW3sbDhbH9Cz0tuDiY8C3ctxq1tqvaCgkFb8cCA/edit?usp=sharing"",""ชัยภูมิ!J221"")"),0)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IFERROR(__xludf.DUMMYFUNCTION("IMPORTRANGE(""https://docs.google.com/spreadsheets/d/1XL5vhW3sbDhbH9Cz0tuDiY8C3ctxq1tqvaCgkFb8cCA/edit?usp=sharing"",""ชัยภูมิ!J222"")"),0)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IFERROR(__xludf.DUMMYFUNCTION("IMPORTRANGE(""https://docs.google.com/spreadsheets/d/1XL5vhW3sbDhbH9Cz0tuDiY8C3ctxq1tqvaCgkFb8cCA/edit?usp=sharing"",""ชัยภูมิ!J223"")"),0)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IFERROR(__xludf.DUMMYFUNCTION("IMPORTRANGE(""https://docs.google.com/spreadsheets/d/1XL5vhW3sbDhbH9Cz0tuDiY8C3ctxq1tqvaCgkFb8cCA/edit?usp=sharing"",""ชัยภูมิ!I224"")"),0)</f>
        <v>0</v>
      </c>
      <c r="J324" s="204">
        <f ca="1">IFERROR(__xludf.DUMMYFUNCTION("IMPORTRANGE(""https://docs.google.com/spreadsheets/d/1XL5vhW3sbDhbH9Cz0tuDiY8C3ctxq1tqvaCgkFb8cCA/edit?usp=sharing"",""ชัยภูมิ!J224"")"),0)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IFERROR(__xludf.DUMMYFUNCTION("IMPORTRANGE(""https://docs.google.com/spreadsheets/d/1XL5vhW3sbDhbH9Cz0tuDiY8C3ctxq1tqvaCgkFb8cCA/edit?usp=sharing"",""ชัยภูมิ!J225"")"),0)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IFERROR(__xludf.DUMMYFUNCTION("IMPORTRANGE(""https://docs.google.com/spreadsheets/d/1XL5vhW3sbDhbH9Cz0tuDiY8C3ctxq1tqvaCgkFb8cCA/edit?usp=sharing"",""ชัยภูมิ!J226"")"),0)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IFERROR(__xludf.DUMMYFUNCTION("IMPORTRANGE(""https://docs.google.com/spreadsheets/d/1XL5vhW3sbDhbH9Cz0tuDiY8C3ctxq1tqvaCgkFb8cCA/edit?usp=sharing"",""ชัยภูมิ!I228"")"),920)</f>
        <v>920</v>
      </c>
      <c r="J328" s="339">
        <f ca="1">IFERROR(__xludf.DUMMYFUNCTION("IMPORTRANGE(""https://docs.google.com/spreadsheets/d/1XL5vhW3sbDhbH9Cz0tuDiY8C3ctxq1tqvaCgkFb8cCA/edit?usp=sharing"",""ชัยภูมิ!J228"")"),95)</f>
        <v>95</v>
      </c>
      <c r="K328" s="317">
        <f ca="1">IF(I328&gt;0,J328*100/I328,0)</f>
        <v>10.326086956521738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54" t="s">
        <v>17</v>
      </c>
      <c r="E329" s="555"/>
      <c r="F329" s="555"/>
      <c r="G329" s="555"/>
      <c r="H329" s="149" t="s">
        <v>12</v>
      </c>
      <c r="I329" s="162"/>
      <c r="J329" s="162"/>
      <c r="K329" s="163"/>
      <c r="L329" s="152">
        <f t="shared" ref="L329:N329" ca="1" si="98">L330+L331</f>
        <v>2187270</v>
      </c>
      <c r="M329" s="152">
        <f t="shared" ca="1" si="98"/>
        <v>1543690</v>
      </c>
      <c r="N329" s="152">
        <f t="shared" ca="1" si="98"/>
        <v>1017137</v>
      </c>
      <c r="O329" s="151">
        <f t="shared" ref="O329:O331" ca="1" si="99">IF(L329&gt;0,N329*100/L329,0)</f>
        <v>46.502580842785754</v>
      </c>
      <c r="P329" s="151">
        <f t="shared" ref="P329:P331" ca="1" si="100">IF(M329&gt;0,N329*100/M329,0)</f>
        <v>65.889977910072616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2187270</v>
      </c>
      <c r="M331" s="157">
        <f t="shared" ca="1" si="102"/>
        <v>1543690</v>
      </c>
      <c r="N331" s="157">
        <f t="shared" ca="1" si="102"/>
        <v>1017137</v>
      </c>
      <c r="O331" s="156">
        <f t="shared" ca="1" si="99"/>
        <v>46.502580842785754</v>
      </c>
      <c r="P331" s="156">
        <f t="shared" ca="1" si="100"/>
        <v>65.889977910072616</v>
      </c>
    </row>
    <row r="332" spans="1:16" ht="21.75" customHeight="1" x14ac:dyDescent="0.45">
      <c r="A332" s="158"/>
      <c r="B332" s="159"/>
      <c r="C332" s="159" t="s">
        <v>16</v>
      </c>
      <c r="D332" s="552" t="s">
        <v>20</v>
      </c>
      <c r="E332" s="553"/>
      <c r="F332" s="55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2187270</v>
      </c>
      <c r="M333" s="168">
        <f ca="1">IFERROR(__xludf.DUMMYFUNCTION("IMPORTRANGE(""https://docs.google.com/spreadsheets/d/1Yj_ptqi66GCucihVvJfMjLAmec39IyEx_6qawtMGysU/edit?usp=sharing"",""สบก!DL40"")"),1543690)</f>
        <v>1543690</v>
      </c>
      <c r="N333" s="169">
        <f ca="1">IFERROR(__xludf.DUMMYFUNCTION("IMPORTRANGE(""https://docs.google.com/spreadsheets/d/1Yj_ptqi66GCucihVvJfMjLAmec39IyEx_6qawtMGysU/edit?usp=sharing"",""สบก!DM40"")"),1017137)</f>
        <v>1017137</v>
      </c>
      <c r="O333" s="169">
        <f ca="1">IF(L333&gt;0,N333*100/L333,0)</f>
        <v>46.502580842785754</v>
      </c>
      <c r="P333" s="169">
        <f ca="1">IF(M333&gt;0,N333*100/M333,0)</f>
        <v>65.889977910072616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IFERROR(__xludf.DUMMYFUNCTION("IMPORTRANGE(""https://docs.google.com/spreadsheets/d/1Yj_ptqi66GCucihVvJfMjLAmec39IyEx_6qawtMGysU/edit?usp=sharing"",""สบก!DH40"")"),830300)</f>
        <v>830300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IFERROR(__xludf.DUMMYFUNCTION("IMPORTRANGE(""https://docs.google.com/spreadsheets/d/1Yj_ptqi66GCucihVvJfMjLAmec39IyEx_6qawtMGysU/edit?usp=sharing"",""สบก!DI40"")"),1356970)</f>
        <v>1356970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52" t="s">
        <v>23</v>
      </c>
      <c r="E336" s="55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IFERROR(__xludf.DUMMYFUNCTION("IMPORTRANGE(""https://docs.google.com/spreadsheets/d/1Yj_ptqi66GCucihVvJfMjLAmec39IyEx_6qawtMGysU/edit?usp=sharing"",""สบก!DJ40"")"),0)</f>
        <v>0</v>
      </c>
      <c r="M337" s="49"/>
      <c r="N337" s="49">
        <f ca="1">IFERROR(__xludf.DUMMYFUNCTION("IMPORTRANGE(""https://docs.google.com/spreadsheets/d/1Yj_ptqi66GCucihVvJfMjLAmec39IyEx_6qawtMGysU/edit?usp=sharing"",""สบก!DN40"")"),0)</f>
        <v>0</v>
      </c>
      <c r="O337" s="49">
        <f ca="1">IF(L337&gt;0,N337*100/L337,0)</f>
        <v>0</v>
      </c>
      <c r="P337" s="49"/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IFERROR(__xludf.DUMMYFUNCTION("IMPORTRANGE(""https://docs.google.com/spreadsheets/d/1XL5vhW3sbDhbH9Cz0tuDiY8C3ctxq1tqvaCgkFb8cCA/edit?usp=sharing"",""ชัยภูมิ!I234"")"),0)</f>
        <v>0</v>
      </c>
      <c r="J339" s="188">
        <f ca="1">IFERROR(__xludf.DUMMYFUNCTION("IMPORTRANGE(""https://docs.google.com/spreadsheets/d/1XL5vhW3sbDhbH9Cz0tuDiY8C3ctxq1tqvaCgkFb8cCA/edit?usp=sharing"",""ชัยภูมิ!J234"")"),315)</f>
        <v>315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IFERROR(__xludf.DUMMYFUNCTION("IMPORTRANGE(""https://docs.google.com/spreadsheets/d/1XL5vhW3sbDhbH9Cz0tuDiY8C3ctxq1tqvaCgkFb8cCA/edit?usp=sharing"",""ชัยภูมิ!I235"")"),11000)</f>
        <v>11000</v>
      </c>
      <c r="J340" s="188">
        <f ca="1">IFERROR(__xludf.DUMMYFUNCTION("IMPORTRANGE(""https://docs.google.com/spreadsheets/d/1XL5vhW3sbDhbH9Cz0tuDiY8C3ctxq1tqvaCgkFb8cCA/edit?usp=sharing"",""ชัยภูมิ!J235"")"),3149.27999999999)</f>
        <v>3149.2799999999902</v>
      </c>
      <c r="K340" s="342">
        <f t="shared" ca="1" si="103"/>
        <v>28.629818181818091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IFERROR(__xludf.DUMMYFUNCTION("IMPORTRANGE(""https://docs.google.com/spreadsheets/d/1XL5vhW3sbDhbH9Cz0tuDiY8C3ctxq1tqvaCgkFb8cCA/edit?usp=sharing"",""ชัยภูมิ!I236"")"),920)</f>
        <v>920</v>
      </c>
      <c r="J341" s="188">
        <f ca="1">IFERROR(__xludf.DUMMYFUNCTION("IMPORTRANGE(""https://docs.google.com/spreadsheets/d/1XL5vhW3sbDhbH9Cz0tuDiY8C3ctxq1tqvaCgkFb8cCA/edit?usp=sharing"",""ชัยภูมิ!J236"")"),261)</f>
        <v>261</v>
      </c>
      <c r="K341" s="342">
        <f t="shared" ca="1" si="103"/>
        <v>28.369565217391305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IFERROR(__xludf.DUMMYFUNCTION("IMPORTRANGE(""https://docs.google.com/spreadsheets/d/1XL5vhW3sbDhbH9Cz0tuDiY8C3ctxq1tqvaCgkFb8cCA/edit?usp=sharing"",""ชัยภูมิ!I237"")"),0)</f>
        <v>0</v>
      </c>
      <c r="J342" s="188">
        <f ca="1">IFERROR(__xludf.DUMMYFUNCTION("IMPORTRANGE(""https://docs.google.com/spreadsheets/d/1XL5vhW3sbDhbH9Cz0tuDiY8C3ctxq1tqvaCgkFb8cCA/edit?usp=sharing"",""ชัยภูมิ!J237"")"),3342.31)</f>
        <v>3342.31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IFERROR(__xludf.DUMMYFUNCTION("IMPORTRANGE(""https://docs.google.com/spreadsheets/d/1XL5vhW3sbDhbH9Cz0tuDiY8C3ctxq1tqvaCgkFb8cCA/edit?usp=sharing"",""ชัยภูมิ!I238"")"),920)</f>
        <v>920</v>
      </c>
      <c r="J343" s="188">
        <f ca="1">IFERROR(__xludf.DUMMYFUNCTION("IMPORTRANGE(""https://docs.google.com/spreadsheets/d/1XL5vhW3sbDhbH9Cz0tuDiY8C3ctxq1tqvaCgkFb8cCA/edit?usp=sharing"",""ชัยภูมิ!J238"")"),0)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IFERROR(__xludf.DUMMYFUNCTION("IMPORTRANGE(""https://docs.google.com/spreadsheets/d/1XL5vhW3sbDhbH9Cz0tuDiY8C3ctxq1tqvaCgkFb8cCA/edit?usp=sharing"",""ชัยภูมิ!I239"")"),0)</f>
        <v>0</v>
      </c>
      <c r="J344" s="188">
        <f ca="1">IFERROR(__xludf.DUMMYFUNCTION("IMPORTRANGE(""https://docs.google.com/spreadsheets/d/1XL5vhW3sbDhbH9Cz0tuDiY8C3ctxq1tqvaCgkFb8cCA/edit?usp=sharing"",""ชัยภูมิ!J239"")"),0)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IFERROR(__xludf.DUMMYFUNCTION("IMPORTRANGE(""https://docs.google.com/spreadsheets/d/1XL5vhW3sbDhbH9Cz0tuDiY8C3ctxq1tqvaCgkFb8cCA/edit?usp=sharing"",""ชัยภูมิ!I240"")"),920)</f>
        <v>920</v>
      </c>
      <c r="J345" s="188">
        <f ca="1">IFERROR(__xludf.DUMMYFUNCTION("IMPORTRANGE(""https://docs.google.com/spreadsheets/d/1XL5vhW3sbDhbH9Cz0tuDiY8C3ctxq1tqvaCgkFb8cCA/edit?usp=sharing"",""ชัยภูมิ!J240"")"),95)</f>
        <v>95</v>
      </c>
      <c r="K345" s="342">
        <f t="shared" ca="1" si="103"/>
        <v>10.326086956521738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IFERROR(__xludf.DUMMYFUNCTION("IMPORTRANGE(""https://docs.google.com/spreadsheets/d/1XL5vhW3sbDhbH9Cz0tuDiY8C3ctxq1tqvaCgkFb8cCA/edit?usp=sharing"",""ชัยภูมิ!I241"")"),0)</f>
        <v>0</v>
      </c>
      <c r="J346" s="188">
        <f ca="1">IFERROR(__xludf.DUMMYFUNCTION("IMPORTRANGE(""https://docs.google.com/spreadsheets/d/1XL5vhW3sbDhbH9Cz0tuDiY8C3ctxq1tqvaCgkFb8cCA/edit?usp=sharing"",""ชัยภูมิ!J241"")"),1570.76)</f>
        <v>1570.76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IFERROR(__xludf.DUMMYFUNCTION("IMPORTRANGE(""https://docs.google.com/spreadsheets/d/1XL5vhW3sbDhbH9Cz0tuDiY8C3ctxq1tqvaCgkFb8cCA/edit?usp=sharing"",""ชัยภูมิ!L242"")"),2067483)</f>
        <v>2067483</v>
      </c>
      <c r="M347" s="358"/>
      <c r="N347" s="358">
        <f ca="1">IFERROR(__xludf.DUMMYFUNCTION("IMPORTRANGE(""https://docs.google.com/spreadsheets/d/1XL5vhW3sbDhbH9Cz0tuDiY8C3ctxq1tqvaCgkFb8cCA/edit?usp=sharing"",""ชัยภูมิ!M242"")"),435198.1)</f>
        <v>435198.1</v>
      </c>
      <c r="O347" s="358">
        <f ca="1">+IF(L347&gt;0,N347*100/L347,0)</f>
        <v>21.04965796574869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IFERROR(__xludf.DUMMYFUNCTION("IMPORTRANGE(""https://docs.google.com/spreadsheets/d/1XL5vhW3sbDhbH9Cz0tuDiY8C3ctxq1tqvaCgkFb8cCA/edit?usp=sharing"",""ชัยภูมิ!I244"")"),0)</f>
        <v>0</v>
      </c>
      <c r="J349" s="371">
        <f ca="1">IFERROR(__xludf.DUMMYFUNCTION("IMPORTRANGE(""https://docs.google.com/spreadsheets/d/1XL5vhW3sbDhbH9Cz0tuDiY8C3ctxq1tqvaCgkFb8cCA/edit?usp=sharing"",""ชัยภูมิ!J244"")"),0)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IFERROR(__xludf.DUMMYFUNCTION("IMPORTRANGE(""https://docs.google.com/spreadsheets/d/1XL5vhW3sbDhbH9Cz0tuDiY8C3ctxq1tqvaCgkFb8cCA/edit?usp=sharing"",""ชัยภูมิ!L244"")"),0)</f>
        <v>0</v>
      </c>
      <c r="M349" s="373"/>
      <c r="N349" s="373">
        <f ca="1">IFERROR(__xludf.DUMMYFUNCTION("IMPORTRANGE(""https://docs.google.com/spreadsheets/d/1XL5vhW3sbDhbH9Cz0tuDiY8C3ctxq1tqvaCgkFb8cCA/edit?usp=sharing"",""ชัยภูมิ!M244"")"),0)</f>
        <v>0</v>
      </c>
      <c r="O349" s="373">
        <f ca="1">+IF(L349&gt;0,N349*100/L349,0)</f>
        <v>0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IFERROR(__xludf.DUMMYFUNCTION("IMPORTRANGE(""https://docs.google.com/spreadsheets/d/1XL5vhW3sbDhbH9Cz0tuDiY8C3ctxq1tqvaCgkFb8cCA/edit?usp=sharing"",""ชัยภูมิ!I245"")"),0)</f>
        <v>0</v>
      </c>
      <c r="J350" s="371">
        <f ca="1">IFERROR(__xludf.DUMMYFUNCTION("IMPORTRANGE(""https://docs.google.com/spreadsheets/d/1XL5vhW3sbDhbH9Cz0tuDiY8C3ctxq1tqvaCgkFb8cCA/edit?usp=sharing"",""ชัยภูมิ!J245"")"),0)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IFERROR(__xludf.DUMMYFUNCTION("IMPORTRANGE(""https://docs.google.com/spreadsheets/d/1XL5vhW3sbDhbH9Cz0tuDiY8C3ctxq1tqvaCgkFb8cCA/edit?usp=sharing"",""ชัยภูมิ!L246"")"),0)</f>
        <v>0</v>
      </c>
      <c r="M351" s="164"/>
      <c r="N351" s="164">
        <f ca="1">IFERROR(__xludf.DUMMYFUNCTION("IMPORTRANGE(""https://docs.google.com/spreadsheets/d/1XL5vhW3sbDhbH9Cz0tuDiY8C3ctxq1tqvaCgkFb8cCA/edit?usp=sharing"",""ชัยภูมิ!M246"")"),0)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IFERROR(__xludf.DUMMYFUNCTION("IMPORTRANGE(""https://docs.google.com/spreadsheets/d/1XL5vhW3sbDhbH9Cz0tuDiY8C3ctxq1tqvaCgkFb8cCA/edit?usp=sharing"",""ชัยภูมิ!L247"")"),0)</f>
        <v>0</v>
      </c>
      <c r="M352" s="165"/>
      <c r="N352" s="164">
        <f ca="1">IFERROR(__xludf.DUMMYFUNCTION("IMPORTRANGE(""https://docs.google.com/spreadsheets/d/1XL5vhW3sbDhbH9Cz0tuDiY8C3ctxq1tqvaCgkFb8cCA/edit?usp=sharing"",""ชัยภูมิ!M247"")"),0)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IFERROR(__xludf.DUMMYFUNCTION("IMPORTRANGE(""https://docs.google.com/spreadsheets/d/1XL5vhW3sbDhbH9Cz0tuDiY8C3ctxq1tqvaCgkFb8cCA/edit?usp=sharing"",""ชัยภูมิ!L248"")"),0)</f>
        <v>0</v>
      </c>
      <c r="M353" s="169"/>
      <c r="N353" s="169">
        <f ca="1">IFERROR(__xludf.DUMMYFUNCTION("IMPORTRANGE(""https://docs.google.com/spreadsheets/d/1XL5vhW3sbDhbH9Cz0tuDiY8C3ctxq1tqvaCgkFb8cCA/edit?usp=sharing"",""ชัยภูมิ!M248"")"),0)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IFERROR(__xludf.DUMMYFUNCTION("IMPORTRANGE(""https://docs.google.com/spreadsheets/d/1XL5vhW3sbDhbH9Cz0tuDiY8C3ctxq1tqvaCgkFb8cCA/edit?usp=sharing"",""ชัยภูมิ!L249"")"),0)</f>
        <v>0</v>
      </c>
      <c r="M354" s="169"/>
      <c r="N354" s="168">
        <f ca="1">IFERROR(__xludf.DUMMYFUNCTION("IMPORTRANGE(""https://docs.google.com/spreadsheets/d/1XL5vhW3sbDhbH9Cz0tuDiY8C3ctxq1tqvaCgkFb8cCA/edit?usp=sharing"",""ชัยภูมิ!M249"")"),0)</f>
        <v>0</v>
      </c>
      <c r="O354" s="169">
        <f t="shared" ca="1" si="105"/>
        <v>0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IFERROR(__xludf.DUMMYFUNCTION("IMPORTRANGE(""https://docs.google.com/spreadsheets/d/1XL5vhW3sbDhbH9Cz0tuDiY8C3ctxq1tqvaCgkFb8cCA/edit?usp=sharing"",""ชัยภูมิ!M250"")"),0)</f>
        <v>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IFERROR(__xludf.DUMMYFUNCTION("IMPORTRANGE(""https://docs.google.com/spreadsheets/d/1XL5vhW3sbDhbH9Cz0tuDiY8C3ctxq1tqvaCgkFb8cCA/edit?usp=sharing"",""ชัยภูมิ!M251"")"),0)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IFERROR(__xludf.DUMMYFUNCTION("IMPORTRANGE(""https://docs.google.com/spreadsheets/d/1XL5vhW3sbDhbH9Cz0tuDiY8C3ctxq1tqvaCgkFb8cCA/edit?usp=sharing"",""ชัยภูมิ!M252"")"),0)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IFERROR(__xludf.DUMMYFUNCTION("IMPORTRANGE(""https://docs.google.com/spreadsheets/d/1XL5vhW3sbDhbH9Cz0tuDiY8C3ctxq1tqvaCgkFb8cCA/edit?usp=sharing"",""ชัยภูมิ!M253"")"),0)</f>
        <v>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IFERROR(__xludf.DUMMYFUNCTION("IMPORTRANGE(""https://docs.google.com/spreadsheets/d/1XL5vhW3sbDhbH9Cz0tuDiY8C3ctxq1tqvaCgkFb8cCA/edit?usp=sharing"",""ชัยภูมิ!J255"")"),0)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IFERROR(__xludf.DUMMYFUNCTION("IMPORTRANGE(""https://docs.google.com/spreadsheets/d/1XL5vhW3sbDhbH9Cz0tuDiY8C3ctxq1tqvaCgkFb8cCA/edit?usp=sharing"",""ชัยภูมิ!J256"")"),0)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IFERROR(__xludf.DUMMYFUNCTION("IMPORTRANGE(""https://docs.google.com/spreadsheets/d/1XL5vhW3sbDhbH9Cz0tuDiY8C3ctxq1tqvaCgkFb8cCA/edit?usp=sharing"",""ชัยภูมิ!J257"")"),0)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IFERROR(__xludf.DUMMYFUNCTION("IMPORTRANGE(""https://docs.google.com/spreadsheets/d/1XL5vhW3sbDhbH9Cz0tuDiY8C3ctxq1tqvaCgkFb8cCA/edit?usp=sharing"",""ชัยภูมิ!J258"")"),0)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IFERROR(__xludf.DUMMYFUNCTION("IMPORTRANGE(""https://docs.google.com/spreadsheets/d/1XL5vhW3sbDhbH9Cz0tuDiY8C3ctxq1tqvaCgkFb8cCA/edit?usp=sharing"",""ชัยภูมิ!J166"")"),0)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IFERROR(__xludf.DUMMYFUNCTION("IMPORTRANGE(""https://docs.google.com/spreadsheets/d/1XL5vhW3sbDhbH9Cz0tuDiY8C3ctxq1tqvaCgkFb8cCA/edit?usp=sharing"",""ชัยภูมิ!J166"")"),0)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IFERROR(__xludf.DUMMYFUNCTION("IMPORTRANGE(""https://docs.google.com/spreadsheets/d/1XL5vhW3sbDhbH9Cz0tuDiY8C3ctxq1tqvaCgkFb8cCA/edit?usp=sharing"",""ชัยภูมิ!J166"")"),0)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IFERROR(__xludf.DUMMYFUNCTION("IMPORTRANGE(""https://docs.google.com/spreadsheets/d/1XL5vhW3sbDhbH9Cz0tuDiY8C3ctxq1tqvaCgkFb8cCA/edit?usp=sharing"",""ชัยภูมิ!J166"")"),0)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IFERROR(__xludf.DUMMYFUNCTION("IMPORTRANGE(""https://docs.google.com/spreadsheets/d/1XL5vhW3sbDhbH9Cz0tuDiY8C3ctxq1tqvaCgkFb8cCA/edit?usp=sharing"",""ชัยภูมิ!I263"")"),0)</f>
        <v>0</v>
      </c>
      <c r="J368" s="188">
        <f ca="1">IFERROR(__xludf.DUMMYFUNCTION("IMPORTRANGE(""https://docs.google.com/spreadsheets/d/1XL5vhW3sbDhbH9Cz0tuDiY8C3ctxq1tqvaCgkFb8cCA/edit?usp=sharing"",""ชัยภูมิ!J263"")"),0)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IFERROR(__xludf.DUMMYFUNCTION("IMPORTRANGE(""https://docs.google.com/spreadsheets/d/1XL5vhW3sbDhbH9Cz0tuDiY8C3ctxq1tqvaCgkFb8cCA/edit?usp=sharing"",""ชัยภูมิ!I164"")"),0)</f>
        <v>0</v>
      </c>
      <c r="J369" s="204">
        <f ca="1">IFERROR(__xludf.DUMMYFUNCTION("IMPORTRANGE(""https://docs.google.com/spreadsheets/d/1XL5vhW3sbDhbH9Cz0tuDiY8C3ctxq1tqvaCgkFb8cCA/edit?usp=sharing"",""ชัยภูมิ!J164"")"),0)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293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IFERROR(__xludf.DUMMYFUNCTION("IMPORTRANGE(""https://docs.google.com/spreadsheets/d/1XL5vhW3sbDhbH9Cz0tuDiY8C3ctxq1tqvaCgkFb8cCA/edit?usp=sharing"",""ชัยภูมิ!I265"")"),0)</f>
        <v>0</v>
      </c>
      <c r="J370" s="204">
        <f ca="1">IFERROR(__xludf.DUMMYFUNCTION("IMPORTRANGE(""https://docs.google.com/spreadsheets/d/1XL5vhW3sbDhbH9Cz0tuDiY8C3ctxq1tqvaCgkFb8cCA/edit?usp=sharing"",""ชัยภูมิ!J265"")"),0)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IFERROR(__xludf.DUMMYFUNCTION("IMPORTRANGE(""https://docs.google.com/spreadsheets/d/1XL5vhW3sbDhbH9Cz0tuDiY8C3ctxq1tqvaCgkFb8cCA/edit?usp=sharing"",""ชัยภูมิ!I164"")"),0)</f>
        <v>0</v>
      </c>
      <c r="J371" s="189">
        <f ca="1">IFERROR(__xludf.DUMMYFUNCTION("IMPORTRANGE(""https://docs.google.com/spreadsheets/d/1XL5vhW3sbDhbH9Cz0tuDiY8C3ctxq1tqvaCgkFb8cCA/edit?usp=sharing"",""ชัยภูมิ!J164"")"),0)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293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IFERROR(__xludf.DUMMYFUNCTION("IMPORTRANGE(""https://docs.google.com/spreadsheets/d/1XL5vhW3sbDhbH9Cz0tuDiY8C3ctxq1tqvaCgkFb8cCA/edit?usp=sharing"",""ชัยภูมิ!I267"")"),0)</f>
        <v>0</v>
      </c>
      <c r="J372" s="189">
        <f ca="1">IFERROR(__xludf.DUMMYFUNCTION("IMPORTRANGE(""https://docs.google.com/spreadsheets/d/1XL5vhW3sbDhbH9Cz0tuDiY8C3ctxq1tqvaCgkFb8cCA/edit?usp=sharing"",""ชัยภูมิ!J267"")"),0)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IFERROR(__xludf.DUMMYFUNCTION("IMPORTRANGE(""https://docs.google.com/spreadsheets/d/1XL5vhW3sbDhbH9Cz0tuDiY8C3ctxq1tqvaCgkFb8cCA/edit?usp=sharing"",""ชัยภูมิ!I164"")"),0)</f>
        <v>0</v>
      </c>
      <c r="J373" s="204">
        <f ca="1">IFERROR(__xludf.DUMMYFUNCTION("IMPORTRANGE(""https://docs.google.com/spreadsheets/d/1XL5vhW3sbDhbH9Cz0tuDiY8C3ctxq1tqvaCgkFb8cCA/edit?usp=sharing"",""ชัยภูมิ!J164"")"),0)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IFERROR(__xludf.DUMMYFUNCTION("IMPORTRANGE(""https://docs.google.com/spreadsheets/d/1XL5vhW3sbDhbH9Cz0tuDiY8C3ctxq1tqvaCgkFb8cCA/edit?usp=sharing"",""ชัยภูมิ!I164"")"),0)</f>
        <v>0</v>
      </c>
      <c r="J374" s="188">
        <f ca="1">IFERROR(__xludf.DUMMYFUNCTION("IMPORTRANGE(""https://docs.google.com/spreadsheets/d/1XL5vhW3sbDhbH9Cz0tuDiY8C3ctxq1tqvaCgkFb8cCA/edit?usp=sharing"",""ชัยภูมิ!J164"")"),0)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IFERROR(__xludf.DUMMYFUNCTION("IMPORTRANGE(""https://docs.google.com/spreadsheets/d/1XL5vhW3sbDhbH9Cz0tuDiY8C3ctxq1tqvaCgkFb8cCA/edit?usp=sharing"",""ชัยภูมิ!I270"")"),0)</f>
        <v>0</v>
      </c>
      <c r="J375" s="188">
        <f ca="1">IFERROR(__xludf.DUMMYFUNCTION("IMPORTRANGE(""https://docs.google.com/spreadsheets/d/1XL5vhW3sbDhbH9Cz0tuDiY8C3ctxq1tqvaCgkFb8cCA/edit?usp=sharing"",""ชัยภูมิ!J270"")"),0)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IFERROR(__xludf.DUMMYFUNCTION("IMPORTRANGE(""https://docs.google.com/spreadsheets/d/1XL5vhW3sbDhbH9Cz0tuDiY8C3ctxq1tqvaCgkFb8cCA/edit?usp=sharing"",""ชัยภูมิ!I271"")"),0)</f>
        <v>0</v>
      </c>
      <c r="J376" s="189">
        <f ca="1">IFERROR(__xludf.DUMMYFUNCTION("IMPORTRANGE(""https://docs.google.com/spreadsheets/d/1XL5vhW3sbDhbH9Cz0tuDiY8C3ctxq1tqvaCgkFb8cCA/edit?usp=sharing"",""ชัยภูมิ!J271"")"),0)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IFERROR(__xludf.DUMMYFUNCTION("IMPORTRANGE(""https://docs.google.com/spreadsheets/d/1XL5vhW3sbDhbH9Cz0tuDiY8C3ctxq1tqvaCgkFb8cCA/edit?usp=sharing"",""ชัยภูมิ!I272"")"),0)</f>
        <v>0</v>
      </c>
      <c r="J377" s="204">
        <f ca="1">IFERROR(__xludf.DUMMYFUNCTION("IMPORTRANGE(""https://docs.google.com/spreadsheets/d/1XL5vhW3sbDhbH9Cz0tuDiY8C3ctxq1tqvaCgkFb8cCA/edit?usp=sharing"",""ชัยภูมิ!J272"")"),0)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IFERROR(__xludf.DUMMYFUNCTION("IMPORTRANGE(""https://docs.google.com/spreadsheets/d/1XL5vhW3sbDhbH9Cz0tuDiY8C3ctxq1tqvaCgkFb8cCA/edit?usp=sharing"",""ชัยภูมิ!J273"")"),0)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IFERROR(__xludf.DUMMYFUNCTION("IMPORTRANGE(""https://docs.google.com/spreadsheets/d/1XL5vhW3sbDhbH9Cz0tuDiY8C3ctxq1tqvaCgkFb8cCA/edit?usp=sharing"",""ชัยภูมิ!J274"")"),0)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IFERROR(__xludf.DUMMYFUNCTION("IMPORTRANGE(""https://docs.google.com/spreadsheets/d/1XL5vhW3sbDhbH9Cz0tuDiY8C3ctxq1tqvaCgkFb8cCA/edit?usp=sharing"",""ชัยภูมิ!I275"")"),1000)</f>
        <v>1000</v>
      </c>
      <c r="J380" s="371">
        <f ca="1">IFERROR(__xludf.DUMMYFUNCTION("IMPORTRANGE(""https://docs.google.com/spreadsheets/d/1XL5vhW3sbDhbH9Cz0tuDiY8C3ctxq1tqvaCgkFb8cCA/edit?usp=sharing"",""ชัยภูมิ!J275"")"),0)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IFERROR(__xludf.DUMMYFUNCTION("IMPORTRANGE(""https://docs.google.com/spreadsheets/d/1XL5vhW3sbDhbH9Cz0tuDiY8C3ctxq1tqvaCgkFb8cCA/edit?usp=sharing"",""ชัยภูมิ!L275"")"),1028520)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IFERROR(__xludf.DUMMYFUNCTION("IMPORTRANGE(""https://docs.google.com/spreadsheets/d/1XL5vhW3sbDhbH9Cz0tuDiY8C3ctxq1tqvaCgkFb8cCA/edit?usp=sharing"",""ชัยภูมิ!M275"")"),96967)</f>
        <v>96967</v>
      </c>
      <c r="O380" s="373">
        <f ca="1">+IF(L380&gt;0,N380*100/L380,0)</f>
        <v>9.4278186131528798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IFERROR(__xludf.DUMMYFUNCTION("IMPORTRANGE(""https://docs.google.com/spreadsheets/d/1XL5vhW3sbDhbH9Cz0tuDiY8C3ctxq1tqvaCgkFb8cCA/edit?usp=sharing"",""ชัยภูมิ!I276"")"),100)</f>
        <v>100</v>
      </c>
      <c r="J381" s="371">
        <f ca="1">IFERROR(__xludf.DUMMYFUNCTION("IMPORTRANGE(""https://docs.google.com/spreadsheets/d/1XL5vhW3sbDhbH9Cz0tuDiY8C3ctxq1tqvaCgkFb8cCA/edit?usp=sharing"",""ชัยภูมิ!J276"")"),60)</f>
        <v>60</v>
      </c>
      <c r="K381" s="372">
        <f t="shared" ca="1" si="108"/>
        <v>60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IFERROR(__xludf.DUMMYFUNCTION("IMPORTRANGE(""https://docs.google.com/spreadsheets/d/1XL5vhW3sbDhbH9Cz0tuDiY8C3ctxq1tqvaCgkFb8cCA/edit?usp=sharing"",""ชัยภูมิ!L277"")"),0)</f>
        <v>0</v>
      </c>
      <c r="M382" s="164"/>
      <c r="N382" s="164">
        <f ca="1">IFERROR(__xludf.DUMMYFUNCTION("IMPORTRANGE(""https://docs.google.com/spreadsheets/d/1XL5vhW3sbDhbH9Cz0tuDiY8C3ctxq1tqvaCgkFb8cCA/edit?usp=sharing"",""ชัยภูมิ!M277"")"),0)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IFERROR(__xludf.DUMMYFUNCTION("IMPORTRANGE(""https://docs.google.com/spreadsheets/d/1XL5vhW3sbDhbH9Cz0tuDiY8C3ctxq1tqvaCgkFb8cCA/edit?usp=sharing"",""ชัยภูมิ!L278"")"),1028520)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IFERROR(__xludf.DUMMYFUNCTION("IMPORTRANGE(""https://docs.google.com/spreadsheets/d/1XL5vhW3sbDhbH9Cz0tuDiY8C3ctxq1tqvaCgkFb8cCA/edit?usp=sharing"",""ชัยภูมิ!M278"")"),96967)</f>
        <v>96967</v>
      </c>
      <c r="O383" s="165">
        <f t="shared" ca="1" si="109"/>
        <v>9.4278186131528798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IFERROR(__xludf.DUMMYFUNCTION("IMPORTRANGE(""https://docs.google.com/spreadsheets/d/1XL5vhW3sbDhbH9Cz0tuDiY8C3ctxq1tqvaCgkFb8cCA/edit?usp=sharing"",""ชัยภูมิ!L279"")"),0)</f>
        <v>0</v>
      </c>
      <c r="M384" s="169"/>
      <c r="N384" s="169">
        <f ca="1">IFERROR(__xludf.DUMMYFUNCTION("IMPORTRANGE(""https://docs.google.com/spreadsheets/d/1XL5vhW3sbDhbH9Cz0tuDiY8C3ctxq1tqvaCgkFb8cCA/edit?usp=sharing"",""ชัยภูมิ!M279"")"),0)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IFERROR(__xludf.DUMMYFUNCTION("IMPORTRANGE(""https://docs.google.com/spreadsheets/d/1XL5vhW3sbDhbH9Cz0tuDiY8C3ctxq1tqvaCgkFb8cCA/edit?usp=sharing"",""ชัยภูมิ!L280"")"),1028520)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IFERROR(__xludf.DUMMYFUNCTION("IMPORTRANGE(""https://docs.google.com/spreadsheets/d/1XL5vhW3sbDhbH9Cz0tuDiY8C3ctxq1tqvaCgkFb8cCA/edit?usp=sharing"",""ชัยภูมิ!M280"")"),96967)</f>
        <v>96967</v>
      </c>
      <c r="O385" s="169">
        <f t="shared" ca="1" si="109"/>
        <v>9.4278186131528798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IFERROR(__xludf.DUMMYFUNCTION("IMPORTRANGE(""https://docs.google.com/spreadsheets/d/1XL5vhW3sbDhbH9Cz0tuDiY8C3ctxq1tqvaCgkFb8cCA/edit?usp=sharing"",""ชัยภูมิ!M281"")"),40398)</f>
        <v>40398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IFERROR(__xludf.DUMMYFUNCTION("IMPORTRANGE(""https://docs.google.com/spreadsheets/d/1XL5vhW3sbDhbH9Cz0tuDiY8C3ctxq1tqvaCgkFb8cCA/edit?usp=sharing"",""ชัยภูมิ!M282"")"),0)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IFERROR(__xludf.DUMMYFUNCTION("IMPORTRANGE(""https://docs.google.com/spreadsheets/d/1XL5vhW3sbDhbH9Cz0tuDiY8C3ctxq1tqvaCgkFb8cCA/edit?usp=sharing"",""ชัยภูมิ!M283"")"),48529)</f>
        <v>48529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IFERROR(__xludf.DUMMYFUNCTION("IMPORTRANGE(""https://docs.google.com/spreadsheets/d/1XL5vhW3sbDhbH9Cz0tuDiY8C3ctxq1tqvaCgkFb8cCA/edit?usp=sharing"",""ชัยภูมิ!M284"")"),8040)</f>
        <v>8040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IFERROR(__xludf.DUMMYFUNCTION("IMPORTRANGE(""https://docs.google.com/spreadsheets/d/1XL5vhW3sbDhbH9Cz0tuDiY8C3ctxq1tqvaCgkFb8cCA/edit?usp=sharing"",""ชัยภูมิ!J286"")"),0)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IFERROR(__xludf.DUMMYFUNCTION("IMPORTRANGE(""https://docs.google.com/spreadsheets/d/1XL5vhW3sbDhbH9Cz0tuDiY8C3ctxq1tqvaCgkFb8cCA/edit?usp=sharing"",""ชัยภูมิ!J287"")"),1)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IFERROR(__xludf.DUMMYFUNCTION("IMPORTRANGE(""https://docs.google.com/spreadsheets/d/1XL5vhW3sbDhbH9Cz0tuDiY8C3ctxq1tqvaCgkFb8cCA/edit?usp=sharing"",""ชัยภูมิ!J288"")"),1)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IFERROR(__xludf.DUMMYFUNCTION("IMPORTRANGE(""https://docs.google.com/spreadsheets/d/1XL5vhW3sbDhbH9Cz0tuDiY8C3ctxq1tqvaCgkFb8cCA/edit?usp=sharing"",""ชัยภูมิ!J289"")"),1)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IFERROR(__xludf.DUMMYFUNCTION("IMPORTRANGE(""https://docs.google.com/spreadsheets/d/1XL5vhW3sbDhbH9Cz0tuDiY8C3ctxq1tqvaCgkFb8cCA/edit?usp=sharing"",""ชัยภูมิ!I291"")"),100)</f>
        <v>100</v>
      </c>
      <c r="J396" s="198">
        <f ca="1">IFERROR(__xludf.DUMMYFUNCTION("IMPORTRANGE(""https://docs.google.com/spreadsheets/d/1XL5vhW3sbDhbH9Cz0tuDiY8C3ctxq1tqvaCgkFb8cCA/edit?usp=sharing"",""ชัยภูมิ!J291"")"),60)</f>
        <v>60</v>
      </c>
      <c r="K396" s="163">
        <f t="shared" ref="K396:K398" ca="1" si="110">IF(I396&gt;0,J396*100/I396,0)</f>
        <v>60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IFERROR(__xludf.DUMMYFUNCTION("IMPORTRANGE(""https://docs.google.com/spreadsheets/d/1XL5vhW3sbDhbH9Cz0tuDiY8C3ctxq1tqvaCgkFb8cCA/edit?usp=sharing"",""ชัยภูมิ!I292"")"),1000)</f>
        <v>1000</v>
      </c>
      <c r="J397" s="198">
        <f ca="1">IFERROR(__xludf.DUMMYFUNCTION("IMPORTRANGE(""https://docs.google.com/spreadsheets/d/1XL5vhW3sbDhbH9Cz0tuDiY8C3ctxq1tqvaCgkFb8cCA/edit?usp=sharing"",""ชัยภูมิ!J292"")"),0)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IFERROR(__xludf.DUMMYFUNCTION("IMPORTRANGE(""https://docs.google.com/spreadsheets/d/1XL5vhW3sbDhbH9Cz0tuDiY8C3ctxq1tqvaCgkFb8cCA/edit?usp=sharing"",""ชัยภูมิ!I293"")"),100)</f>
        <v>100</v>
      </c>
      <c r="J398" s="198">
        <f ca="1">IFERROR(__xludf.DUMMYFUNCTION("IMPORTRANGE(""https://docs.google.com/spreadsheets/d/1XL5vhW3sbDhbH9Cz0tuDiY8C3ctxq1tqvaCgkFb8cCA/edit?usp=sharing"",""ชัยภูมิ!J293"")"),0)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IFERROR(__xludf.DUMMYFUNCTION("IMPORTRANGE(""https://docs.google.com/spreadsheets/d/1XL5vhW3sbDhbH9Cz0tuDiY8C3ctxq1tqvaCgkFb8cCA/edit?usp=sharing"",""ชัยภูมิ!J294"")"),0)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IFERROR(__xludf.DUMMYFUNCTION("IMPORTRANGE(""https://docs.google.com/spreadsheets/d/1XL5vhW3sbDhbH9Cz0tuDiY8C3ctxq1tqvaCgkFb8cCA/edit?usp=sharing"",""ชัยภูมิ!J295"")"),0)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IFERROR(__xludf.DUMMYFUNCTION("IMPORTRANGE(""https://docs.google.com/spreadsheets/d/1XL5vhW3sbDhbH9Cz0tuDiY8C3ctxq1tqvaCgkFb8cCA/edit?usp=sharing"",""ชัยภูมิ!I296"")"),90)</f>
        <v>90</v>
      </c>
      <c r="J401" s="371">
        <f ca="1">IFERROR(__xludf.DUMMYFUNCTION("IMPORTRANGE(""https://docs.google.com/spreadsheets/d/1XL5vhW3sbDhbH9Cz0tuDiY8C3ctxq1tqvaCgkFb8cCA/edit?usp=sharing"",""ชัยภูมิ!J296"")"),0)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IFERROR(__xludf.DUMMYFUNCTION("IMPORTRANGE(""https://docs.google.com/spreadsheets/d/1XL5vhW3sbDhbH9Cz0tuDiY8C3ctxq1tqvaCgkFb8cCA/edit?usp=sharing"",""ชัยภูมิ!L296"")"),101920)</f>
        <v>101920</v>
      </c>
      <c r="M401" s="373"/>
      <c r="N401" s="373">
        <f ca="1">IFERROR(__xludf.DUMMYFUNCTION("IMPORTRANGE(""https://docs.google.com/spreadsheets/d/1XL5vhW3sbDhbH9Cz0tuDiY8C3ctxq1tqvaCgkFb8cCA/edit?usp=sharing"",""ชัยภูมิ!M296"")"),56450)</f>
        <v>56450</v>
      </c>
      <c r="O401" s="373">
        <f ca="1">+IF(L401&gt;0,N401*100/L401,0)</f>
        <v>55.386577708006278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IFERROR(__xludf.DUMMYFUNCTION("IMPORTRANGE(""https://docs.google.com/spreadsheets/d/1XL5vhW3sbDhbH9Cz0tuDiY8C3ctxq1tqvaCgkFb8cCA/edit?usp=sharing"",""ชัยภูมิ!I297"")"),30)</f>
        <v>30</v>
      </c>
      <c r="J402" s="371">
        <f ca="1">IFERROR(__xludf.DUMMYFUNCTION("IMPORTRANGE(""https://docs.google.com/spreadsheets/d/1XL5vhW3sbDhbH9Cz0tuDiY8C3ctxq1tqvaCgkFb8cCA/edit?usp=sharing"",""ชัยภูมิ!J297"")"),0)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IFERROR(__xludf.DUMMYFUNCTION("IMPORTRANGE(""https://docs.google.com/spreadsheets/d/1XL5vhW3sbDhbH9Cz0tuDiY8C3ctxq1tqvaCgkFb8cCA/edit?usp=sharing"",""ชัยภูมิ!L298"")"),0)</f>
        <v>0</v>
      </c>
      <c r="M403" s="164"/>
      <c r="N403" s="169">
        <f ca="1">IFERROR(__xludf.DUMMYFUNCTION("IMPORTRANGE(""https://docs.google.com/spreadsheets/d/1XL5vhW3sbDhbH9Cz0tuDiY8C3ctxq1tqvaCgkFb8cCA/edit?usp=sharing"",""ชัยภูมิ!M298"")"),0)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IFERROR(__xludf.DUMMYFUNCTION("IMPORTRANGE(""https://docs.google.com/spreadsheets/d/1XL5vhW3sbDhbH9Cz0tuDiY8C3ctxq1tqvaCgkFb8cCA/edit?usp=sharing"",""ชัยภูมิ!L299"")"),101920)</f>
        <v>101920</v>
      </c>
      <c r="M404" s="165"/>
      <c r="N404" s="169">
        <f ca="1">IFERROR(__xludf.DUMMYFUNCTION("IMPORTRANGE(""https://docs.google.com/spreadsheets/d/1XL5vhW3sbDhbH9Cz0tuDiY8C3ctxq1tqvaCgkFb8cCA/edit?usp=sharing"",""ชัยภูมิ!M299"")"),56450)</f>
        <v>56450</v>
      </c>
      <c r="O404" s="169">
        <f t="shared" ca="1" si="112"/>
        <v>55.386577708006278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IFERROR(__xludf.DUMMYFUNCTION("IMPORTRANGE(""https://docs.google.com/spreadsheets/d/1XL5vhW3sbDhbH9Cz0tuDiY8C3ctxq1tqvaCgkFb8cCA/edit?usp=sharing"",""ชัยภูมิ!L300"")"),0)</f>
        <v>0</v>
      </c>
      <c r="M405" s="169"/>
      <c r="N405" s="169">
        <f ca="1">IFERROR(__xludf.DUMMYFUNCTION("IMPORTRANGE(""https://docs.google.com/spreadsheets/d/1XL5vhW3sbDhbH9Cz0tuDiY8C3ctxq1tqvaCgkFb8cCA/edit?usp=sharing"",""ชัยภูมิ!M300"")"),0)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IFERROR(__xludf.DUMMYFUNCTION("IMPORTRANGE(""https://docs.google.com/spreadsheets/d/1XL5vhW3sbDhbH9Cz0tuDiY8C3ctxq1tqvaCgkFb8cCA/edit?usp=sharing"",""ชัยภูมิ!L301"")"),101920)</f>
        <v>101920</v>
      </c>
      <c r="M406" s="169"/>
      <c r="N406" s="169">
        <f ca="1">IFERROR(__xludf.DUMMYFUNCTION("IMPORTRANGE(""https://docs.google.com/spreadsheets/d/1XL5vhW3sbDhbH9Cz0tuDiY8C3ctxq1tqvaCgkFb8cCA/edit?usp=sharing"",""ชัยภูมิ!M301"")"),56450)</f>
        <v>56450</v>
      </c>
      <c r="O406" s="169">
        <f t="shared" ca="1" si="112"/>
        <v>55.386577708006278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IFERROR(__xludf.DUMMYFUNCTION("IMPORTRANGE(""https://docs.google.com/spreadsheets/d/1XL5vhW3sbDhbH9Cz0tuDiY8C3ctxq1tqvaCgkFb8cCA/edit?usp=sharing"",""ชัยภูมิ!M302"")"),6390)</f>
        <v>6390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IFERROR(__xludf.DUMMYFUNCTION("IMPORTRANGE(""https://docs.google.com/spreadsheets/d/1XL5vhW3sbDhbH9Cz0tuDiY8C3ctxq1tqvaCgkFb8cCA/edit?usp=sharing"",""ชัยภูมิ!M303"")"),0)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IFERROR(__xludf.DUMMYFUNCTION("IMPORTRANGE(""https://docs.google.com/spreadsheets/d/1XL5vhW3sbDhbH9Cz0tuDiY8C3ctxq1tqvaCgkFb8cCA/edit?usp=sharing"",""ชัยภูมิ!M304"")"),0)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IFERROR(__xludf.DUMMYFUNCTION("IMPORTRANGE(""https://docs.google.com/spreadsheets/d/1XL5vhW3sbDhbH9Cz0tuDiY8C3ctxq1tqvaCgkFb8cCA/edit?usp=sharing"",""ชัยภูมิ!M305"")"),50060)</f>
        <v>50060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IFERROR(__xludf.DUMMYFUNCTION("IMPORTRANGE(""https://docs.google.com/spreadsheets/d/1XL5vhW3sbDhbH9Cz0tuDiY8C3ctxq1tqvaCgkFb8cCA/edit?usp=sharing"",""ชัยภูมิ!J307"")"),0)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IFERROR(__xludf.DUMMYFUNCTION("IMPORTRANGE(""https://docs.google.com/spreadsheets/d/1XL5vhW3sbDhbH9Cz0tuDiY8C3ctxq1tqvaCgkFb8cCA/edit?usp=sharing"",""ชัยภูมิ!J308"")"),1)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IFERROR(__xludf.DUMMYFUNCTION("IMPORTRANGE(""https://docs.google.com/spreadsheets/d/1XL5vhW3sbDhbH9Cz0tuDiY8C3ctxq1tqvaCgkFb8cCA/edit?usp=sharing"",""ชัยภูมิ!J309"")"),1)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IFERROR(__xludf.DUMMYFUNCTION("IMPORTRANGE(""https://docs.google.com/spreadsheets/d/1XL5vhW3sbDhbH9Cz0tuDiY8C3ctxq1tqvaCgkFb8cCA/edit?usp=sharing"",""ชัยภูมิ!J310"")"),1)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IFERROR(__xludf.DUMMYFUNCTION("IMPORTRANGE(""https://docs.google.com/spreadsheets/d/1XL5vhW3sbDhbH9Cz0tuDiY8C3ctxq1tqvaCgkFb8cCA/edit?usp=sharing"",""ชัยภูมิ!I311"")"),30)</f>
        <v>30</v>
      </c>
      <c r="J416" s="201">
        <f ca="1">IFERROR(__xludf.DUMMYFUNCTION("IMPORTRANGE(""https://docs.google.com/spreadsheets/d/1XL5vhW3sbDhbH9Cz0tuDiY8C3ctxq1tqvaCgkFb8cCA/edit?usp=sharing"",""ชัยภูมิ!J311"")"),0)</f>
        <v>0</v>
      </c>
      <c r="K416" s="202">
        <f t="shared" ref="K416:K432" ca="1" si="113">IF(I416&gt;0,J416*100/I416,0)</f>
        <v>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IFERROR(__xludf.DUMMYFUNCTION("IMPORTRANGE(""https://docs.google.com/spreadsheets/d/1XL5vhW3sbDhbH9Cz0tuDiY8C3ctxq1tqvaCgkFb8cCA/edit?usp=sharing"",""ชัยภูมิ!I312"")"),0)</f>
        <v>0</v>
      </c>
      <c r="J417" s="392">
        <f ca="1">IFERROR(__xludf.DUMMYFUNCTION("IMPORTRANGE(""https://docs.google.com/spreadsheets/d/1XL5vhW3sbDhbH9Cz0tuDiY8C3ctxq1tqvaCgkFb8cCA/edit?usp=sharing"",""ชัยภูมิ!J312"")"),0)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IFERROR(__xludf.DUMMYFUNCTION("IMPORTRANGE(""https://docs.google.com/spreadsheets/d/1XL5vhW3sbDhbH9Cz0tuDiY8C3ctxq1tqvaCgkFb8cCA/edit?usp=sharing"",""ชัยภูมิ!I313"")"),0)</f>
        <v>0</v>
      </c>
      <c r="J418" s="393">
        <f ca="1">IFERROR(__xludf.DUMMYFUNCTION("IMPORTRANGE(""https://docs.google.com/spreadsheets/d/1XL5vhW3sbDhbH9Cz0tuDiY8C3ctxq1tqvaCgkFb8cCA/edit?usp=sharing"",""ชัยภูมิ!J313"")"),0)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IFERROR(__xludf.DUMMYFUNCTION("IMPORTRANGE(""https://docs.google.com/spreadsheets/d/1XL5vhW3sbDhbH9Cz0tuDiY8C3ctxq1tqvaCgkFb8cCA/edit?usp=sharing"",""ชัยภูมิ!I314"")"),0)</f>
        <v>0</v>
      </c>
      <c r="J419" s="394">
        <f ca="1">IFERROR(__xludf.DUMMYFUNCTION("IMPORTRANGE(""https://docs.google.com/spreadsheets/d/1XL5vhW3sbDhbH9Cz0tuDiY8C3ctxq1tqvaCgkFb8cCA/edit?usp=sharing"",""ชัยภูมิ!J314"")"),0)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IFERROR(__xludf.DUMMYFUNCTION("IMPORTRANGE(""https://docs.google.com/spreadsheets/d/1XL5vhW3sbDhbH9Cz0tuDiY8C3ctxq1tqvaCgkFb8cCA/edit?usp=sharing"",""ชัยภูมิ!I315"")"),0)</f>
        <v>0</v>
      </c>
      <c r="J420" s="394">
        <f ca="1">IFERROR(__xludf.DUMMYFUNCTION("IMPORTRANGE(""https://docs.google.com/spreadsheets/d/1XL5vhW3sbDhbH9Cz0tuDiY8C3ctxq1tqvaCgkFb8cCA/edit?usp=sharing"",""ชัยภูมิ!J315"")"),0)</f>
        <v>0</v>
      </c>
      <c r="K420" s="288">
        <f t="shared" ca="1" si="113"/>
        <v>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IFERROR(__xludf.DUMMYFUNCTION("IMPORTRANGE(""https://docs.google.com/spreadsheets/d/1XL5vhW3sbDhbH9Cz0tuDiY8C3ctxq1tqvaCgkFb8cCA/edit?usp=sharing"",""ชัยภูมิ!I316"")"),20)</f>
        <v>20</v>
      </c>
      <c r="J421" s="392">
        <f ca="1">IFERROR(__xludf.DUMMYFUNCTION("IMPORTRANGE(""https://docs.google.com/spreadsheets/d/1XL5vhW3sbDhbH9Cz0tuDiY8C3ctxq1tqvaCgkFb8cCA/edit?usp=sharing"",""ชัยภูมิ!J316"")"),0)</f>
        <v>0</v>
      </c>
      <c r="K421" s="202">
        <f t="shared" ca="1" si="113"/>
        <v>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IFERROR(__xludf.DUMMYFUNCTION("IMPORTRANGE(""https://docs.google.com/spreadsheets/d/1XL5vhW3sbDhbH9Cz0tuDiY8C3ctxq1tqvaCgkFb8cCA/edit?usp=sharing"",""ชัยภูมิ!I317"")"),60)</f>
        <v>60</v>
      </c>
      <c r="J422" s="393">
        <f ca="1">IFERROR(__xludf.DUMMYFUNCTION("IMPORTRANGE(""https://docs.google.com/spreadsheets/d/1XL5vhW3sbDhbH9Cz0tuDiY8C3ctxq1tqvaCgkFb8cCA/edit?usp=sharing"",""ชัยภูมิ!J317"")"),0)</f>
        <v>0</v>
      </c>
      <c r="K422" s="202">
        <f t="shared" ca="1" si="113"/>
        <v>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IFERROR(__xludf.DUMMYFUNCTION("IMPORTRANGE(""https://docs.google.com/spreadsheets/d/1XL5vhW3sbDhbH9Cz0tuDiY8C3ctxq1tqvaCgkFb8cCA/edit?usp=sharing"",""ชัยภูมิ!I318"")"),20)</f>
        <v>20</v>
      </c>
      <c r="J423" s="394">
        <f ca="1">IFERROR(__xludf.DUMMYFUNCTION("IMPORTRANGE(""https://docs.google.com/spreadsheets/d/1XL5vhW3sbDhbH9Cz0tuDiY8C3ctxq1tqvaCgkFb8cCA/edit?usp=sharing"",""ชัยภูมิ!J318"")"),0)</f>
        <v>0</v>
      </c>
      <c r="K423" s="163">
        <f t="shared" ca="1" si="113"/>
        <v>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IFERROR(__xludf.DUMMYFUNCTION("IMPORTRANGE(""https://docs.google.com/spreadsheets/d/1XL5vhW3sbDhbH9Cz0tuDiY8C3ctxq1tqvaCgkFb8cCA/edit?usp=sharing"",""ชัยภูมิ!I319"")"),20)</f>
        <v>20</v>
      </c>
      <c r="J424" s="394">
        <f ca="1">IFERROR(__xludf.DUMMYFUNCTION("IMPORTRANGE(""https://docs.google.com/spreadsheets/d/1XL5vhW3sbDhbH9Cz0tuDiY8C3ctxq1tqvaCgkFb8cCA/edit?usp=sharing"",""ชัยภูมิ!J319"")"),0)</f>
        <v>0</v>
      </c>
      <c r="K424" s="163">
        <f t="shared" ca="1" si="113"/>
        <v>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IFERROR(__xludf.DUMMYFUNCTION("IMPORTRANGE(""https://docs.google.com/spreadsheets/d/1XL5vhW3sbDhbH9Cz0tuDiY8C3ctxq1tqvaCgkFb8cCA/edit?usp=sharing"",""ชัยภูมิ!I320"")"),20)</f>
        <v>20</v>
      </c>
      <c r="J425" s="394">
        <f ca="1">IFERROR(__xludf.DUMMYFUNCTION("IMPORTRANGE(""https://docs.google.com/spreadsheets/d/1XL5vhW3sbDhbH9Cz0tuDiY8C3ctxq1tqvaCgkFb8cCA/edit?usp=sharing"",""ชัยภูมิ!J320"")"),0)</f>
        <v>0</v>
      </c>
      <c r="K425" s="163">
        <f t="shared" ca="1" si="113"/>
        <v>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IFERROR(__xludf.DUMMYFUNCTION("IMPORTRANGE(""https://docs.google.com/spreadsheets/d/1XL5vhW3sbDhbH9Cz0tuDiY8C3ctxq1tqvaCgkFb8cCA/edit?usp=sharing"",""ชัยภูมิ!I321"")"),10)</f>
        <v>10</v>
      </c>
      <c r="J426" s="392">
        <f ca="1">IFERROR(__xludf.DUMMYFUNCTION("IMPORTRANGE(""https://docs.google.com/spreadsheets/d/1XL5vhW3sbDhbH9Cz0tuDiY8C3ctxq1tqvaCgkFb8cCA/edit?usp=sharing"",""ชัยภูมิ!J321"")"),0)</f>
        <v>0</v>
      </c>
      <c r="K426" s="202">
        <f t="shared" ca="1" si="113"/>
        <v>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IFERROR(__xludf.DUMMYFUNCTION("IMPORTRANGE(""https://docs.google.com/spreadsheets/d/1XL5vhW3sbDhbH9Cz0tuDiY8C3ctxq1tqvaCgkFb8cCA/edit?usp=sharing"",""ชัยภูมิ!I322"")"),30)</f>
        <v>30</v>
      </c>
      <c r="J427" s="393">
        <f ca="1">IFERROR(__xludf.DUMMYFUNCTION("IMPORTRANGE(""https://docs.google.com/spreadsheets/d/1XL5vhW3sbDhbH9Cz0tuDiY8C3ctxq1tqvaCgkFb8cCA/edit?usp=sharing"",""ชัยภูมิ!J322"")"),0)</f>
        <v>0</v>
      </c>
      <c r="K427" s="202">
        <f t="shared" ca="1" si="113"/>
        <v>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IFERROR(__xludf.DUMMYFUNCTION("IMPORTRANGE(""https://docs.google.com/spreadsheets/d/1XL5vhW3sbDhbH9Cz0tuDiY8C3ctxq1tqvaCgkFb8cCA/edit?usp=sharing"",""ชัยภูมิ!I323"")"),10)</f>
        <v>10</v>
      </c>
      <c r="J428" s="394">
        <f ca="1">IFERROR(__xludf.DUMMYFUNCTION("IMPORTRANGE(""https://docs.google.com/spreadsheets/d/1XL5vhW3sbDhbH9Cz0tuDiY8C3ctxq1tqvaCgkFb8cCA/edit?usp=sharing"",""ชัยภูมิ!J323"")"),0)</f>
        <v>0</v>
      </c>
      <c r="K428" s="163">
        <f t="shared" ca="1" si="113"/>
        <v>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IFERROR(__xludf.DUMMYFUNCTION("IMPORTRANGE(""https://docs.google.com/spreadsheets/d/1XL5vhW3sbDhbH9Cz0tuDiY8C3ctxq1tqvaCgkFb8cCA/edit?usp=sharing"",""ชัยภูมิ!I324"")"),10)</f>
        <v>10</v>
      </c>
      <c r="J429" s="394">
        <f ca="1">IFERROR(__xludf.DUMMYFUNCTION("IMPORTRANGE(""https://docs.google.com/spreadsheets/d/1XL5vhW3sbDhbH9Cz0tuDiY8C3ctxq1tqvaCgkFb8cCA/edit?usp=sharing"",""ชัยภูมิ!J324"")"),0)</f>
        <v>0</v>
      </c>
      <c r="K429" s="163">
        <f t="shared" ca="1" si="113"/>
        <v>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IFERROR(__xludf.DUMMYFUNCTION("IMPORTRANGE(""https://docs.google.com/spreadsheets/d/1XL5vhW3sbDhbH9Cz0tuDiY8C3ctxq1tqvaCgkFb8cCA/edit?usp=sharing"",""ชัยภูมิ!I325"")"),20)</f>
        <v>20</v>
      </c>
      <c r="J430" s="392">
        <f ca="1">IFERROR(__xludf.DUMMYFUNCTION("IMPORTRANGE(""https://docs.google.com/spreadsheets/d/1XL5vhW3sbDhbH9Cz0tuDiY8C3ctxq1tqvaCgkFb8cCA/edit?usp=sharing"",""ชัยภูมิ!J325"")"),0)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IFERROR(__xludf.DUMMYFUNCTION("IMPORTRANGE(""https://docs.google.com/spreadsheets/d/1XL5vhW3sbDhbH9Cz0tuDiY8C3ctxq1tqvaCgkFb8cCA/edit?usp=sharing"",""ชัยภูมิ!I326"")"),0)</f>
        <v>0</v>
      </c>
      <c r="J431" s="394">
        <f ca="1">IFERROR(__xludf.DUMMYFUNCTION("IMPORTRANGE(""https://docs.google.com/spreadsheets/d/1XL5vhW3sbDhbH9Cz0tuDiY8C3ctxq1tqvaCgkFb8cCA/edit?usp=sharing"",""ชัยภูมิ!J326"")"),0)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IFERROR(__xludf.DUMMYFUNCTION("IMPORTRANGE(""https://docs.google.com/spreadsheets/d/1XL5vhW3sbDhbH9Cz0tuDiY8C3ctxq1tqvaCgkFb8cCA/edit?usp=sharing"",""ชัยภูมิ!I327"")"),20)</f>
        <v>20</v>
      </c>
      <c r="J432" s="394">
        <f ca="1">IFERROR(__xludf.DUMMYFUNCTION("IMPORTRANGE(""https://docs.google.com/spreadsheets/d/1XL5vhW3sbDhbH9Cz0tuDiY8C3ctxq1tqvaCgkFb8cCA/edit?usp=sharing"",""ชัยภูมิ!J327"")"),0)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IFERROR(__xludf.DUMMYFUNCTION("IMPORTRANGE(""https://docs.google.com/spreadsheets/d/1XL5vhW3sbDhbH9Cz0tuDiY8C3ctxq1tqvaCgkFb8cCA/edit?usp=sharing"",""ชัยภูมิ!J328"")"),0)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IFERROR(__xludf.DUMMYFUNCTION("IMPORTRANGE(""https://docs.google.com/spreadsheets/d/1XL5vhW3sbDhbH9Cz0tuDiY8C3ctxq1tqvaCgkFb8cCA/edit?usp=sharing"",""ชัยภูมิ!J329"")"),0)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IFERROR(__xludf.DUMMYFUNCTION("IMPORTRANGE(""https://docs.google.com/spreadsheets/d/1XL5vhW3sbDhbH9Cz0tuDiY8C3ctxq1tqvaCgkFb8cCA/edit?usp=sharing"",""ชัยภูมิ!I330"")"),15)</f>
        <v>15</v>
      </c>
      <c r="J435" s="410">
        <f ca="1">IFERROR(__xludf.DUMMYFUNCTION("IMPORTRANGE(""https://docs.google.com/spreadsheets/d/1XL5vhW3sbDhbH9Cz0tuDiY8C3ctxq1tqvaCgkFb8cCA/edit?usp=sharing"",""ชัยภูมิ!J330"")"),15)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IFERROR(__xludf.DUMMYFUNCTION("IMPORTRANGE(""https://docs.google.com/spreadsheets/d/1XL5vhW3sbDhbH9Cz0tuDiY8C3ctxq1tqvaCgkFb8cCA/edit?usp=sharing"",""ชัยภูมิ!L330"")"),106000)</f>
        <v>106000</v>
      </c>
      <c r="M435" s="412"/>
      <c r="N435" s="412">
        <f ca="1">IFERROR(__xludf.DUMMYFUNCTION("IMPORTRANGE(""https://docs.google.com/spreadsheets/d/1XL5vhW3sbDhbH9Cz0tuDiY8C3ctxq1tqvaCgkFb8cCA/edit?usp=sharing"",""ชัยภูมิ!M330"")"),72798)</f>
        <v>72798</v>
      </c>
      <c r="O435" s="412">
        <f t="shared" ref="O435:O439" ca="1" si="114">+IF(L435&gt;0,N435*100/L435,0)</f>
        <v>68.677358490566036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IFERROR(__xludf.DUMMYFUNCTION("IMPORTRANGE(""https://docs.google.com/spreadsheets/d/1XL5vhW3sbDhbH9Cz0tuDiY8C3ctxq1tqvaCgkFb8cCA/edit?usp=sharing"",""ชัยภูมิ!L331"")"),0)</f>
        <v>0</v>
      </c>
      <c r="M436" s="164"/>
      <c r="N436" s="169">
        <f ca="1">IFERROR(__xludf.DUMMYFUNCTION("IMPORTRANGE(""https://docs.google.com/spreadsheets/d/1XL5vhW3sbDhbH9Cz0tuDiY8C3ctxq1tqvaCgkFb8cCA/edit?usp=sharing"",""ชัยภูมิ!M331"")"),0)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IFERROR(__xludf.DUMMYFUNCTION("IMPORTRANGE(""https://docs.google.com/spreadsheets/d/1XL5vhW3sbDhbH9Cz0tuDiY8C3ctxq1tqvaCgkFb8cCA/edit?usp=sharing"",""ชัยภูมิ!L332"")"),106000)</f>
        <v>106000</v>
      </c>
      <c r="M437" s="165"/>
      <c r="N437" s="169">
        <f ca="1">IFERROR(__xludf.DUMMYFUNCTION("IMPORTRANGE(""https://docs.google.com/spreadsheets/d/1XL5vhW3sbDhbH9Cz0tuDiY8C3ctxq1tqvaCgkFb8cCA/edit?usp=sharing"",""ชัยภูมิ!M332"")"),72798)</f>
        <v>72798</v>
      </c>
      <c r="O437" s="169">
        <f t="shared" ca="1" si="114"/>
        <v>68.677358490566036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IFERROR(__xludf.DUMMYFUNCTION("IMPORTRANGE(""https://docs.google.com/spreadsheets/d/1XL5vhW3sbDhbH9Cz0tuDiY8C3ctxq1tqvaCgkFb8cCA/edit?usp=sharing"",""ชัยภูมิ!L333"")"),0)</f>
        <v>0</v>
      </c>
      <c r="M438" s="169"/>
      <c r="N438" s="169">
        <f ca="1">IFERROR(__xludf.DUMMYFUNCTION("IMPORTRANGE(""https://docs.google.com/spreadsheets/d/1XL5vhW3sbDhbH9Cz0tuDiY8C3ctxq1tqvaCgkFb8cCA/edit?usp=sharing"",""ชัยภูมิ!M333"")"),0)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IFERROR(__xludf.DUMMYFUNCTION("IMPORTRANGE(""https://docs.google.com/spreadsheets/d/1XL5vhW3sbDhbH9Cz0tuDiY8C3ctxq1tqvaCgkFb8cCA/edit?usp=sharing"",""ชัยภูมิ!L334"")"),106000)</f>
        <v>106000</v>
      </c>
      <c r="M439" s="169"/>
      <c r="N439" s="169">
        <f ca="1">IFERROR(__xludf.DUMMYFUNCTION("IMPORTRANGE(""https://docs.google.com/spreadsheets/d/1XL5vhW3sbDhbH9Cz0tuDiY8C3ctxq1tqvaCgkFb8cCA/edit?usp=sharing"",""ชัยภูมิ!M334"")"),72798)</f>
        <v>72798</v>
      </c>
      <c r="O439" s="169">
        <f t="shared" ca="1" si="114"/>
        <v>68.677358490566036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IFERROR(__xludf.DUMMYFUNCTION("IMPORTRANGE(""https://docs.google.com/spreadsheets/d/1XL5vhW3sbDhbH9Cz0tuDiY8C3ctxq1tqvaCgkFb8cCA/edit?usp=sharing"",""ชัยภูมิ!M335"")"),5000)</f>
        <v>5000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IFERROR(__xludf.DUMMYFUNCTION("IMPORTRANGE(""https://docs.google.com/spreadsheets/d/1XL5vhW3sbDhbH9Cz0tuDiY8C3ctxq1tqvaCgkFb8cCA/edit?usp=sharing"",""ชัยภูมิ!M336"")"),0)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IFERROR(__xludf.DUMMYFUNCTION("IMPORTRANGE(""https://docs.google.com/spreadsheets/d/1XL5vhW3sbDhbH9Cz0tuDiY8C3ctxq1tqvaCgkFb8cCA/edit?usp=sharing"",""ชัยภูมิ!M337"")"),0)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IFERROR(__xludf.DUMMYFUNCTION("IMPORTRANGE(""https://docs.google.com/spreadsheets/d/1XL5vhW3sbDhbH9Cz0tuDiY8C3ctxq1tqvaCgkFb8cCA/edit?usp=sharing"",""ชัยภูมิ!M338"")"),67798)</f>
        <v>67798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IFERROR(__xludf.DUMMYFUNCTION("IMPORTRANGE(""https://docs.google.com/spreadsheets/d/1XL5vhW3sbDhbH9Cz0tuDiY8C3ctxq1tqvaCgkFb8cCA/edit?usp=sharing"",""ชัยภูมิ!J340"")"),0)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IFERROR(__xludf.DUMMYFUNCTION("IMPORTRANGE(""https://docs.google.com/spreadsheets/d/1XL5vhW3sbDhbH9Cz0tuDiY8C3ctxq1tqvaCgkFb8cCA/edit?usp=sharing"",""ชัยภูมิ!J341"")"),1)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IFERROR(__xludf.DUMMYFUNCTION("IMPORTRANGE(""https://docs.google.com/spreadsheets/d/1XL5vhW3sbDhbH9Cz0tuDiY8C3ctxq1tqvaCgkFb8cCA/edit?usp=sharing"",""ชัยภูมิ!J342"")"),1)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IFERROR(__xludf.DUMMYFUNCTION("IMPORTRANGE(""https://docs.google.com/spreadsheets/d/1XL5vhW3sbDhbH9Cz0tuDiY8C3ctxq1tqvaCgkFb8cCA/edit?usp=sharing"",""ชัยภูมิ!J343"")"),0)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IFERROR(__xludf.DUMMYFUNCTION("IMPORTRANGE(""https://docs.google.com/spreadsheets/d/1XL5vhW3sbDhbH9Cz0tuDiY8C3ctxq1tqvaCgkFb8cCA/edit?usp=sharing"",""ชัยภูมิ!I344"")"),15)</f>
        <v>15</v>
      </c>
      <c r="J449" s="201">
        <f ca="1">IFERROR(__xludf.DUMMYFUNCTION("IMPORTRANGE(""https://docs.google.com/spreadsheets/d/1XL5vhW3sbDhbH9Cz0tuDiY8C3ctxq1tqvaCgkFb8cCA/edit?usp=sharing"",""ชัยภูมิ!J344"")"),15)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IFERROR(__xludf.DUMMYFUNCTION("IMPORTRANGE(""https://docs.google.com/spreadsheets/d/1XL5vhW3sbDhbH9Cz0tuDiY8C3ctxq1tqvaCgkFb8cCA/edit?usp=sharing"",""ชัยภูมิ!I345"")"),15)</f>
        <v>15</v>
      </c>
      <c r="J450" s="189">
        <f ca="1">IFERROR(__xludf.DUMMYFUNCTION("IMPORTRANGE(""https://docs.google.com/spreadsheets/d/1XL5vhW3sbDhbH9Cz0tuDiY8C3ctxq1tqvaCgkFb8cCA/edit?usp=sharing"",""ชัยภูมิ!J345"")"),15)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IFERROR(__xludf.DUMMYFUNCTION("IMPORTRANGE(""https://docs.google.com/spreadsheets/d/1XL5vhW3sbDhbH9Cz0tuDiY8C3ctxq1tqvaCgkFb8cCA/edit?usp=sharing"",""ชัยภูมิ!I346"")"),0)</f>
        <v>0</v>
      </c>
      <c r="J451" s="188">
        <f ca="1">IFERROR(__xludf.DUMMYFUNCTION("IMPORTRANGE(""https://docs.google.com/spreadsheets/d/1XL5vhW3sbDhbH9Cz0tuDiY8C3ctxq1tqvaCgkFb8cCA/edit?usp=sharing"",""ชัยภูมิ!J346"")"),0)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IFERROR(__xludf.DUMMYFUNCTION("IMPORTRANGE(""https://docs.google.com/spreadsheets/d/1XL5vhW3sbDhbH9Cz0tuDiY8C3ctxq1tqvaCgkFb8cCA/edit?usp=sharing"",""ชัยภูมิ!I347"")"),0)</f>
        <v>0</v>
      </c>
      <c r="J452" s="188">
        <f ca="1">IFERROR(__xludf.DUMMYFUNCTION("IMPORTRANGE(""https://docs.google.com/spreadsheets/d/1XL5vhW3sbDhbH9Cz0tuDiY8C3ctxq1tqvaCgkFb8cCA/edit?usp=sharing"",""ชัยภูมิ!J347"")"),0)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IFERROR(__xludf.DUMMYFUNCTION("IMPORTRANGE(""https://docs.google.com/spreadsheets/d/1XL5vhW3sbDhbH9Cz0tuDiY8C3ctxq1tqvaCgkFb8cCA/edit?usp=sharing"",""ชัยภูมิ!J348"")"),0)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IFERROR(__xludf.DUMMYFUNCTION("IMPORTRANGE(""https://docs.google.com/spreadsheets/d/1XL5vhW3sbDhbH9Cz0tuDiY8C3ctxq1tqvaCgkFb8cCA/edit?usp=sharing"",""ชัยภูมิ!J349"")"),0)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IFERROR(__xludf.DUMMYFUNCTION("IMPORTRANGE(""https://docs.google.com/spreadsheets/d/1XL5vhW3sbDhbH9Cz0tuDiY8C3ctxq1tqvaCgkFb8cCA/edit?usp=sharing"",""ชัยภูมิ!I350"")"),60118)</f>
        <v>60118</v>
      </c>
      <c r="J455" s="371">
        <f ca="1">IFERROR(__xludf.DUMMYFUNCTION("IMPORTRANGE(""https://docs.google.com/spreadsheets/d/1XL5vhW3sbDhbH9Cz0tuDiY8C3ctxq1tqvaCgkFb8cCA/edit?usp=sharing"",""ชัยภูมิ!J350"")"),60119)</f>
        <v>60119</v>
      </c>
      <c r="K455" s="372">
        <f ca="1">IF(I455&gt;0,J455*100/I455,0)</f>
        <v>100.00166339532254</v>
      </c>
      <c r="L455" s="373">
        <f ca="1">IFERROR(__xludf.DUMMYFUNCTION("IMPORTRANGE(""https://docs.google.com/spreadsheets/d/1XL5vhW3sbDhbH9Cz0tuDiY8C3ctxq1tqvaCgkFb8cCA/edit?usp=sharing"",""ชัยภูมิ!L350"")"),613203)</f>
        <v>613203</v>
      </c>
      <c r="M455" s="373"/>
      <c r="N455" s="373">
        <f ca="1">IFERROR(__xludf.DUMMYFUNCTION("IMPORTRANGE(""https://docs.google.com/spreadsheets/d/1XL5vhW3sbDhbH9Cz0tuDiY8C3ctxq1tqvaCgkFb8cCA/edit?usp=sharing"",""ชัยภูมิ!M350"")"),159311.1)</f>
        <v>159311.1</v>
      </c>
      <c r="O455" s="373">
        <f t="shared" ref="O455:O459" ca="1" si="116">+IF(L455&gt;0,N455*100/L455,0)</f>
        <v>25.98015665285395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IFERROR(__xludf.DUMMYFUNCTION("IMPORTRANGE(""https://docs.google.com/spreadsheets/d/1XL5vhW3sbDhbH9Cz0tuDiY8C3ctxq1tqvaCgkFb8cCA/edit?usp=sharing"",""ชัยภูมิ!L351"")"),0)</f>
        <v>0</v>
      </c>
      <c r="M456" s="164"/>
      <c r="N456" s="169">
        <f ca="1">IFERROR(__xludf.DUMMYFUNCTION("IMPORTRANGE(""https://docs.google.com/spreadsheets/d/1XL5vhW3sbDhbH9Cz0tuDiY8C3ctxq1tqvaCgkFb8cCA/edit?usp=sharing"",""ชัยภูมิ!M351"")"),0)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IFERROR(__xludf.DUMMYFUNCTION("IMPORTRANGE(""https://docs.google.com/spreadsheets/d/1XL5vhW3sbDhbH9Cz0tuDiY8C3ctxq1tqvaCgkFb8cCA/edit?usp=sharing"",""ชัยภูมิ!L352"")"),613203)</f>
        <v>613203</v>
      </c>
      <c r="M457" s="165"/>
      <c r="N457" s="169">
        <f ca="1">IFERROR(__xludf.DUMMYFUNCTION("IMPORTRANGE(""https://docs.google.com/spreadsheets/d/1XL5vhW3sbDhbH9Cz0tuDiY8C3ctxq1tqvaCgkFb8cCA/edit?usp=sharing"",""ชัยภูมิ!M352"")"),159311.1)</f>
        <v>159311.1</v>
      </c>
      <c r="O457" s="169">
        <f t="shared" ca="1" si="116"/>
        <v>25.98015665285395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IFERROR(__xludf.DUMMYFUNCTION("IMPORTRANGE(""https://docs.google.com/spreadsheets/d/1XL5vhW3sbDhbH9Cz0tuDiY8C3ctxq1tqvaCgkFb8cCA/edit?usp=sharing"",""ชัยภูมิ!L353"")"),0)</f>
        <v>0</v>
      </c>
      <c r="M458" s="169"/>
      <c r="N458" s="169">
        <f ca="1">IFERROR(__xludf.DUMMYFUNCTION("IMPORTRANGE(""https://docs.google.com/spreadsheets/d/1XL5vhW3sbDhbH9Cz0tuDiY8C3ctxq1tqvaCgkFb8cCA/edit?usp=sharing"",""ชัยภูมิ!M353"")"),0)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IFERROR(__xludf.DUMMYFUNCTION("IMPORTRANGE(""https://docs.google.com/spreadsheets/d/1XL5vhW3sbDhbH9Cz0tuDiY8C3ctxq1tqvaCgkFb8cCA/edit?usp=sharing"",""ชัยภูมิ!L354"")"),613203)</f>
        <v>613203</v>
      </c>
      <c r="M459" s="169"/>
      <c r="N459" s="169">
        <f ca="1">IFERROR(__xludf.DUMMYFUNCTION("IMPORTRANGE(""https://docs.google.com/spreadsheets/d/1XL5vhW3sbDhbH9Cz0tuDiY8C3ctxq1tqvaCgkFb8cCA/edit?usp=sharing"",""ชัยภูมิ!M354"")"),159311.1)</f>
        <v>159311.1</v>
      </c>
      <c r="O459" s="169">
        <f t="shared" ca="1" si="116"/>
        <v>25.98015665285395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IFERROR(__xludf.DUMMYFUNCTION("IMPORTRANGE(""https://docs.google.com/spreadsheets/d/1XL5vhW3sbDhbH9Cz0tuDiY8C3ctxq1tqvaCgkFb8cCA/edit?usp=sharing"",""ชัยภูมิ!M355"")"),0)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IFERROR(__xludf.DUMMYFUNCTION("IMPORTRANGE(""https://docs.google.com/spreadsheets/d/1XL5vhW3sbDhbH9Cz0tuDiY8C3ctxq1tqvaCgkFb8cCA/edit?usp=sharing"",""ชัยภูมิ!M356"")"),0)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IFERROR(__xludf.DUMMYFUNCTION("IMPORTRANGE(""https://docs.google.com/spreadsheets/d/1XL5vhW3sbDhbH9Cz0tuDiY8C3ctxq1tqvaCgkFb8cCA/edit?usp=sharing"",""ชัยภูมิ!M357"")"),0)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IFERROR(__xludf.DUMMYFUNCTION("IMPORTRANGE(""https://docs.google.com/spreadsheets/d/1XL5vhW3sbDhbH9Cz0tuDiY8C3ctxq1tqvaCgkFb8cCA/edit?usp=sharing"",""ชัยภูมิ!M358"")"),159311.1)</f>
        <v>159311.1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IFERROR(__xludf.DUMMYFUNCTION("IMPORTRANGE(""https://docs.google.com/spreadsheets/d/1XL5vhW3sbDhbH9Cz0tuDiY8C3ctxq1tqvaCgkFb8cCA/edit?usp=sharing"",""ชัยภูมิ!I359"")"),60118)</f>
        <v>60118</v>
      </c>
      <c r="J464" s="267">
        <f ca="1">IFERROR(__xludf.DUMMYFUNCTION("IMPORTRANGE(""https://docs.google.com/spreadsheets/d/1XL5vhW3sbDhbH9Cz0tuDiY8C3ctxq1tqvaCgkFb8cCA/edit?usp=sharing"",""ชัยภูมิ!J359"")"),60119)</f>
        <v>60119</v>
      </c>
      <c r="K464" s="268">
        <f t="shared" ref="K464:K515" ca="1" si="117">IF(I464&gt;0,J464*100/I464,0)</f>
        <v>100.00166339532254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IFERROR(__xludf.DUMMYFUNCTION("IMPORTRANGE(""https://docs.google.com/spreadsheets/d/1XL5vhW3sbDhbH9Cz0tuDiY8C3ctxq1tqvaCgkFb8cCA/edit?usp=sharing"",""ชัยภูมิ!I360"")"),60118)</f>
        <v>60118</v>
      </c>
      <c r="J465" s="420">
        <f ca="1">IFERROR(__xludf.DUMMYFUNCTION("IMPORTRANGE(""https://docs.google.com/spreadsheets/d/1XL5vhW3sbDhbH9Cz0tuDiY8C3ctxq1tqvaCgkFb8cCA/edit?usp=sharing"",""ชัยภูมิ!J360"")"),60119)</f>
        <v>60119</v>
      </c>
      <c r="K465" s="202">
        <f t="shared" ca="1" si="117"/>
        <v>100.00166339532254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IFERROR(__xludf.DUMMYFUNCTION("IMPORTRANGE(""https://docs.google.com/spreadsheets/d/1XL5vhW3sbDhbH9Cz0tuDiY8C3ctxq1tqvaCgkFb8cCA/edit?usp=sharing"",""ชัยภูมิ!I361"")"),6678)</f>
        <v>6678</v>
      </c>
      <c r="J466" s="420">
        <f ca="1">IFERROR(__xludf.DUMMYFUNCTION("IMPORTRANGE(""https://docs.google.com/spreadsheets/d/1XL5vhW3sbDhbH9Cz0tuDiY8C3ctxq1tqvaCgkFb8cCA/edit?usp=sharing"",""ชัยภูมิ!J361"")"),6678)</f>
        <v>6678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IFERROR(__xludf.DUMMYFUNCTION("IMPORTRANGE(""https://docs.google.com/spreadsheets/d/1XL5vhW3sbDhbH9Cz0tuDiY8C3ctxq1tqvaCgkFb8cCA/edit?usp=sharing"",""ชัยภูมิ!I362"")"),0)</f>
        <v>0</v>
      </c>
      <c r="J467" s="189">
        <f ca="1">IFERROR(__xludf.DUMMYFUNCTION("IMPORTRANGE(""https://docs.google.com/spreadsheets/d/1XL5vhW3sbDhbH9Cz0tuDiY8C3ctxq1tqvaCgkFb8cCA/edit?usp=sharing"",""ชัยภูมิ!J362"")"),47784)</f>
        <v>47784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IFERROR(__xludf.DUMMYFUNCTION("IMPORTRANGE(""https://docs.google.com/spreadsheets/d/1XL5vhW3sbDhbH9Cz0tuDiY8C3ctxq1tqvaCgkFb8cCA/edit?usp=sharing"",""ชัยภูมิ!I363"")"),0)</f>
        <v>0</v>
      </c>
      <c r="J468" s="189">
        <f ca="1">IFERROR(__xludf.DUMMYFUNCTION("IMPORTRANGE(""https://docs.google.com/spreadsheets/d/1XL5vhW3sbDhbH9Cz0tuDiY8C3ctxq1tqvaCgkFb8cCA/edit?usp=sharing"",""ชัยภูมิ!J363"")"),5619)</f>
        <v>5619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IFERROR(__xludf.DUMMYFUNCTION("IMPORTRANGE(""https://docs.google.com/spreadsheets/d/1XL5vhW3sbDhbH9Cz0tuDiY8C3ctxq1tqvaCgkFb8cCA/edit?usp=sharing"",""ชัยภูมิ!I364"")"),0)</f>
        <v>0</v>
      </c>
      <c r="J469" s="189">
        <f ca="1">IFERROR(__xludf.DUMMYFUNCTION("IMPORTRANGE(""https://docs.google.com/spreadsheets/d/1XL5vhW3sbDhbH9Cz0tuDiY8C3ctxq1tqvaCgkFb8cCA/edit?usp=sharing"",""ชัยภูมิ!J364"")"),10583)</f>
        <v>10583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IFERROR(__xludf.DUMMYFUNCTION("IMPORTRANGE(""https://docs.google.com/spreadsheets/d/1XL5vhW3sbDhbH9Cz0tuDiY8C3ctxq1tqvaCgkFb8cCA/edit?usp=sharing"",""ชัยภูมิ!I365"")"),0)</f>
        <v>0</v>
      </c>
      <c r="J470" s="189">
        <f ca="1">IFERROR(__xludf.DUMMYFUNCTION("IMPORTRANGE(""https://docs.google.com/spreadsheets/d/1XL5vhW3sbDhbH9Cz0tuDiY8C3ctxq1tqvaCgkFb8cCA/edit?usp=sharing"",""ชัยภูมิ!J365"")"),880)</f>
        <v>880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IFERROR(__xludf.DUMMYFUNCTION("IMPORTRANGE(""https://docs.google.com/spreadsheets/d/1XL5vhW3sbDhbH9Cz0tuDiY8C3ctxq1tqvaCgkFb8cCA/edit?usp=sharing"",""ชัยภูมิ!I366"")"),0)</f>
        <v>0</v>
      </c>
      <c r="J471" s="189">
        <f ca="1">IFERROR(__xludf.DUMMYFUNCTION("IMPORTRANGE(""https://docs.google.com/spreadsheets/d/1XL5vhW3sbDhbH9Cz0tuDiY8C3ctxq1tqvaCgkFb8cCA/edit?usp=sharing"",""ชัยภูมิ!J366"")"),1752)</f>
        <v>1752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IFERROR(__xludf.DUMMYFUNCTION("IMPORTRANGE(""https://docs.google.com/spreadsheets/d/1XL5vhW3sbDhbH9Cz0tuDiY8C3ctxq1tqvaCgkFb8cCA/edit?usp=sharing"",""ชัยภูมิ!I367"")"),0)</f>
        <v>0</v>
      </c>
      <c r="J472" s="189">
        <f ca="1">IFERROR(__xludf.DUMMYFUNCTION("IMPORTRANGE(""https://docs.google.com/spreadsheets/d/1XL5vhW3sbDhbH9Cz0tuDiY8C3ctxq1tqvaCgkFb8cCA/edit?usp=sharing"",""ชัยภูมิ!J367"")"),179)</f>
        <v>179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IFERROR(__xludf.DUMMYFUNCTION("IMPORTRANGE(""https://docs.google.com/spreadsheets/d/1XL5vhW3sbDhbH9Cz0tuDiY8C3ctxq1tqvaCgkFb8cCA/edit?usp=sharing"",""ชัยภูมิ!I368"")"),60118)</f>
        <v>60118</v>
      </c>
      <c r="J473" s="420">
        <f ca="1">IFERROR(__xludf.DUMMYFUNCTION("IMPORTRANGE(""https://docs.google.com/spreadsheets/d/1XL5vhW3sbDhbH9Cz0tuDiY8C3ctxq1tqvaCgkFb8cCA/edit?usp=sharing"",""ชัยภูมิ!J368"")"),60119)</f>
        <v>60119</v>
      </c>
      <c r="K473" s="202">
        <f t="shared" ca="1" si="117"/>
        <v>100.00166339532254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IFERROR(__xludf.DUMMYFUNCTION("IMPORTRANGE(""https://docs.google.com/spreadsheets/d/1XL5vhW3sbDhbH9Cz0tuDiY8C3ctxq1tqvaCgkFb8cCA/edit?usp=sharing"",""ชัยภูมิ!I369"")"),6678)</f>
        <v>6678</v>
      </c>
      <c r="J474" s="420">
        <f ca="1">IFERROR(__xludf.DUMMYFUNCTION("IMPORTRANGE(""https://docs.google.com/spreadsheets/d/1XL5vhW3sbDhbH9Cz0tuDiY8C3ctxq1tqvaCgkFb8cCA/edit?usp=sharing"",""ชัยภูมิ!J369"")"),6678)</f>
        <v>6678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IFERROR(__xludf.DUMMYFUNCTION("IMPORTRANGE(""https://docs.google.com/spreadsheets/d/1XL5vhW3sbDhbH9Cz0tuDiY8C3ctxq1tqvaCgkFb8cCA/edit?usp=sharing"",""ชัยภูมิ!I370"")"),0)</f>
        <v>0</v>
      </c>
      <c r="J475" s="189">
        <f ca="1">IFERROR(__xludf.DUMMYFUNCTION("IMPORTRANGE(""https://docs.google.com/spreadsheets/d/1XL5vhW3sbDhbH9Cz0tuDiY8C3ctxq1tqvaCgkFb8cCA/edit?usp=sharing"",""ชัยภูมิ!J370"")"),47784)</f>
        <v>47784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IFERROR(__xludf.DUMMYFUNCTION("IMPORTRANGE(""https://docs.google.com/spreadsheets/d/1XL5vhW3sbDhbH9Cz0tuDiY8C3ctxq1tqvaCgkFb8cCA/edit?usp=sharing"",""ชัยภูมิ!I371"")"),0)</f>
        <v>0</v>
      </c>
      <c r="J476" s="189">
        <f ca="1">IFERROR(__xludf.DUMMYFUNCTION("IMPORTRANGE(""https://docs.google.com/spreadsheets/d/1XL5vhW3sbDhbH9Cz0tuDiY8C3ctxq1tqvaCgkFb8cCA/edit?usp=sharing"",""ชัยภูมิ!J371"")"),5619)</f>
        <v>5619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IFERROR(__xludf.DUMMYFUNCTION("IMPORTRANGE(""https://docs.google.com/spreadsheets/d/1XL5vhW3sbDhbH9Cz0tuDiY8C3ctxq1tqvaCgkFb8cCA/edit?usp=sharing"",""ชัยภูมิ!I372"")"),0)</f>
        <v>0</v>
      </c>
      <c r="J477" s="189">
        <f ca="1">IFERROR(__xludf.DUMMYFUNCTION("IMPORTRANGE(""https://docs.google.com/spreadsheets/d/1XL5vhW3sbDhbH9Cz0tuDiY8C3ctxq1tqvaCgkFb8cCA/edit?usp=sharing"",""ชัยภูมิ!J372"")"),10583)</f>
        <v>10583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IFERROR(__xludf.DUMMYFUNCTION("IMPORTRANGE(""https://docs.google.com/spreadsheets/d/1XL5vhW3sbDhbH9Cz0tuDiY8C3ctxq1tqvaCgkFb8cCA/edit?usp=sharing"",""ชัยภูมิ!I373"")"),0)</f>
        <v>0</v>
      </c>
      <c r="J478" s="189">
        <f ca="1">IFERROR(__xludf.DUMMYFUNCTION("IMPORTRANGE(""https://docs.google.com/spreadsheets/d/1XL5vhW3sbDhbH9Cz0tuDiY8C3ctxq1tqvaCgkFb8cCA/edit?usp=sharing"",""ชัยภูมิ!J373"")"),880)</f>
        <v>880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IFERROR(__xludf.DUMMYFUNCTION("IMPORTRANGE(""https://docs.google.com/spreadsheets/d/1XL5vhW3sbDhbH9Cz0tuDiY8C3ctxq1tqvaCgkFb8cCA/edit?usp=sharing"",""ชัยภูมิ!I374"")"),0)</f>
        <v>0</v>
      </c>
      <c r="J479" s="189">
        <f ca="1">IFERROR(__xludf.DUMMYFUNCTION("IMPORTRANGE(""https://docs.google.com/spreadsheets/d/1XL5vhW3sbDhbH9Cz0tuDiY8C3ctxq1tqvaCgkFb8cCA/edit?usp=sharing"",""ชัยภูมิ!J374"")"),1752)</f>
        <v>1752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IFERROR(__xludf.DUMMYFUNCTION("IMPORTRANGE(""https://docs.google.com/spreadsheets/d/1XL5vhW3sbDhbH9Cz0tuDiY8C3ctxq1tqvaCgkFb8cCA/edit?usp=sharing"",""ชัยภูมิ!I375"")"),0)</f>
        <v>0</v>
      </c>
      <c r="J480" s="189">
        <f ca="1">IFERROR(__xludf.DUMMYFUNCTION("IMPORTRANGE(""https://docs.google.com/spreadsheets/d/1XL5vhW3sbDhbH9Cz0tuDiY8C3ctxq1tqvaCgkFb8cCA/edit?usp=sharing"",""ชัยภูมิ!J375"")"),179)</f>
        <v>179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IFERROR(__xludf.DUMMYFUNCTION("IMPORTRANGE(""https://docs.google.com/spreadsheets/d/1XL5vhW3sbDhbH9Cz0tuDiY8C3ctxq1tqvaCgkFb8cCA/edit?usp=sharing"",""ชัยภูมิ!I376"")"),60118)</f>
        <v>60118</v>
      </c>
      <c r="J481" s="420">
        <f ca="1">IFERROR(__xludf.DUMMYFUNCTION("IMPORTRANGE(""https://docs.google.com/spreadsheets/d/1XL5vhW3sbDhbH9Cz0tuDiY8C3ctxq1tqvaCgkFb8cCA/edit?usp=sharing"",""ชัยภูมิ!J376"")"),60119)</f>
        <v>60119</v>
      </c>
      <c r="K481" s="202">
        <f t="shared" ca="1" si="117"/>
        <v>100.00166339532254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IFERROR(__xludf.DUMMYFUNCTION("IMPORTRANGE(""https://docs.google.com/spreadsheets/d/1XL5vhW3sbDhbH9Cz0tuDiY8C3ctxq1tqvaCgkFb8cCA/edit?usp=sharing"",""ชัยภูมิ!I377"")"),6678)</f>
        <v>6678</v>
      </c>
      <c r="J482" s="420">
        <f ca="1">IFERROR(__xludf.DUMMYFUNCTION("IMPORTRANGE(""https://docs.google.com/spreadsheets/d/1XL5vhW3sbDhbH9Cz0tuDiY8C3ctxq1tqvaCgkFb8cCA/edit?usp=sharing"",""ชัยภูมิ!J377"")"),6678)</f>
        <v>6678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IFERROR(__xludf.DUMMYFUNCTION("IMPORTRANGE(""https://docs.google.com/spreadsheets/d/1XL5vhW3sbDhbH9Cz0tuDiY8C3ctxq1tqvaCgkFb8cCA/edit?usp=sharing"",""ชัยภูมิ!I378"")"),0)</f>
        <v>0</v>
      </c>
      <c r="J483" s="189">
        <f ca="1">IFERROR(__xludf.DUMMYFUNCTION("IMPORTRANGE(""https://docs.google.com/spreadsheets/d/1XL5vhW3sbDhbH9Cz0tuDiY8C3ctxq1tqvaCgkFb8cCA/edit?usp=sharing"",""ชัยภูมิ!J378"")"),49791)</f>
        <v>49791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IFERROR(__xludf.DUMMYFUNCTION("IMPORTRANGE(""https://docs.google.com/spreadsheets/d/1XL5vhW3sbDhbH9Cz0tuDiY8C3ctxq1tqvaCgkFb8cCA/edit?usp=sharing"",""ชัยภูมิ!I379"")"),0)</f>
        <v>0</v>
      </c>
      <c r="J484" s="189">
        <f ca="1">IFERROR(__xludf.DUMMYFUNCTION("IMPORTRANGE(""https://docs.google.com/spreadsheets/d/1XL5vhW3sbDhbH9Cz0tuDiY8C3ctxq1tqvaCgkFb8cCA/edit?usp=sharing"",""ชัยภูมิ!J379"")"),5788)</f>
        <v>5788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IFERROR(__xludf.DUMMYFUNCTION("IMPORTRANGE(""https://docs.google.com/spreadsheets/d/1XL5vhW3sbDhbH9Cz0tuDiY8C3ctxq1tqvaCgkFb8cCA/edit?usp=sharing"",""ชัยภูมิ!I380"")"),0)</f>
        <v>0</v>
      </c>
      <c r="J485" s="189">
        <f ca="1">IFERROR(__xludf.DUMMYFUNCTION("IMPORTRANGE(""https://docs.google.com/spreadsheets/d/1XL5vhW3sbDhbH9Cz0tuDiY8C3ctxq1tqvaCgkFb8cCA/edit?usp=sharing"",""ชัยภูมิ!J380"")"),8431)</f>
        <v>8431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IFERROR(__xludf.DUMMYFUNCTION("IMPORTRANGE(""https://docs.google.com/spreadsheets/d/1XL5vhW3sbDhbH9Cz0tuDiY8C3ctxq1tqvaCgkFb8cCA/edit?usp=sharing"",""ชัยภูมิ!I381"")"),0)</f>
        <v>0</v>
      </c>
      <c r="J486" s="189">
        <f ca="1">IFERROR(__xludf.DUMMYFUNCTION("IMPORTRANGE(""https://docs.google.com/spreadsheets/d/1XL5vhW3sbDhbH9Cz0tuDiY8C3ctxq1tqvaCgkFb8cCA/edit?usp=sharing"",""ชัยภูมิ!J381"")"),697)</f>
        <v>697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IFERROR(__xludf.DUMMYFUNCTION("IMPORTRANGE(""https://docs.google.com/spreadsheets/d/1XL5vhW3sbDhbH9Cz0tuDiY8C3ctxq1tqvaCgkFb8cCA/edit?usp=sharing"",""ชัยภูมิ!I382"")"),0)</f>
        <v>0</v>
      </c>
      <c r="J487" s="420">
        <f ca="1">IFERROR(__xludf.DUMMYFUNCTION("IMPORTRANGE(""https://docs.google.com/spreadsheets/d/1XL5vhW3sbDhbH9Cz0tuDiY8C3ctxq1tqvaCgkFb8cCA/edit?usp=sharing"",""ชัยภูมิ!J382"")"),1897)</f>
        <v>1897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IFERROR(__xludf.DUMMYFUNCTION("IMPORTRANGE(""https://docs.google.com/spreadsheets/d/1XL5vhW3sbDhbH9Cz0tuDiY8C3ctxq1tqvaCgkFb8cCA/edit?usp=sharing"",""ชัยภูมิ!I383"")"),0)</f>
        <v>0</v>
      </c>
      <c r="J488" s="420">
        <f ca="1">IFERROR(__xludf.DUMMYFUNCTION("IMPORTRANGE(""https://docs.google.com/spreadsheets/d/1XL5vhW3sbDhbH9Cz0tuDiY8C3ctxq1tqvaCgkFb8cCA/edit?usp=sharing"",""ชัยภูมิ!J383"")"),193)</f>
        <v>193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IFERROR(__xludf.DUMMYFUNCTION("IMPORTRANGE(""https://docs.google.com/spreadsheets/d/1XL5vhW3sbDhbH9Cz0tuDiY8C3ctxq1tqvaCgkFb8cCA/edit?usp=sharing"",""ชัยภูมิ!I384"")"),0)</f>
        <v>0</v>
      </c>
      <c r="J489" s="189">
        <f ca="1">IFERROR(__xludf.DUMMYFUNCTION("IMPORTRANGE(""https://docs.google.com/spreadsheets/d/1XL5vhW3sbDhbH9Cz0tuDiY8C3ctxq1tqvaCgkFb8cCA/edit?usp=sharing"",""ชัยภูมิ!J384"")"),1864)</f>
        <v>1864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IFERROR(__xludf.DUMMYFUNCTION("IMPORTRANGE(""https://docs.google.com/spreadsheets/d/1XL5vhW3sbDhbH9Cz0tuDiY8C3ctxq1tqvaCgkFb8cCA/edit?usp=sharing"",""ชัยภูมิ!I385"")"),0)</f>
        <v>0</v>
      </c>
      <c r="J490" s="189">
        <f ca="1">IFERROR(__xludf.DUMMYFUNCTION("IMPORTRANGE(""https://docs.google.com/spreadsheets/d/1XL5vhW3sbDhbH9Cz0tuDiY8C3ctxq1tqvaCgkFb8cCA/edit?usp=sharing"",""ชัยภูมิ!J385"")"),191)</f>
        <v>191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IFERROR(__xludf.DUMMYFUNCTION("IMPORTRANGE(""https://docs.google.com/spreadsheets/d/1XL5vhW3sbDhbH9Cz0tuDiY8C3ctxq1tqvaCgkFb8cCA/edit?usp=sharing"",""ชัยภูมิ!I386"")"),0)</f>
        <v>0</v>
      </c>
      <c r="J491" s="189">
        <f ca="1">IFERROR(__xludf.DUMMYFUNCTION("IMPORTRANGE(""https://docs.google.com/spreadsheets/d/1XL5vhW3sbDhbH9Cz0tuDiY8C3ctxq1tqvaCgkFb8cCA/edit?usp=sharing"",""ชัยภูมิ!J386"")"),33)</f>
        <v>33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IFERROR(__xludf.DUMMYFUNCTION("IMPORTRANGE(""https://docs.google.com/spreadsheets/d/1XL5vhW3sbDhbH9Cz0tuDiY8C3ctxq1tqvaCgkFb8cCA/edit?usp=sharing"",""ชัยภูมิ!I387"")"),0)</f>
        <v>0</v>
      </c>
      <c r="J492" s="189">
        <f ca="1">IFERROR(__xludf.DUMMYFUNCTION("IMPORTRANGE(""https://docs.google.com/spreadsheets/d/1XL5vhW3sbDhbH9Cz0tuDiY8C3ctxq1tqvaCgkFb8cCA/edit?usp=sharing"",""ชัยภูมิ!J387"")"),2)</f>
        <v>2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IFERROR(__xludf.DUMMYFUNCTION("IMPORTRANGE(""https://docs.google.com/spreadsheets/d/1XL5vhW3sbDhbH9Cz0tuDiY8C3ctxq1tqvaCgkFb8cCA/edit?usp=sharing"",""ชัยภูมิ!I388"")"),0)</f>
        <v>0</v>
      </c>
      <c r="J493" s="189">
        <f ca="1">IFERROR(__xludf.DUMMYFUNCTION("IMPORTRANGE(""https://docs.google.com/spreadsheets/d/1XL5vhW3sbDhbH9Cz0tuDiY8C3ctxq1tqvaCgkFb8cCA/edit?usp=sharing"",""ชัยภูมิ!J388"")"),0)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IFERROR(__xludf.DUMMYFUNCTION("IMPORTRANGE(""https://docs.google.com/spreadsheets/d/1XL5vhW3sbDhbH9Cz0tuDiY8C3ctxq1tqvaCgkFb8cCA/edit?usp=sharing"",""ชัยภูมิ!I389"")"),0)</f>
        <v>0</v>
      </c>
      <c r="J494" s="436">
        <f ca="1">IFERROR(__xludf.DUMMYFUNCTION("IMPORTRANGE(""https://docs.google.com/spreadsheets/d/1XL5vhW3sbDhbH9Cz0tuDiY8C3ctxq1tqvaCgkFb8cCA/edit?usp=sharing"",""ชัยภูมิ!J389"")"),0)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IFERROR(__xludf.DUMMYFUNCTION("IMPORTRANGE(""https://docs.google.com/spreadsheets/d/1XL5vhW3sbDhbH9Cz0tuDiY8C3ctxq1tqvaCgkFb8cCA/edit?usp=sharing"",""ชัยภูมิ!I390"")"),0)</f>
        <v>0</v>
      </c>
      <c r="J495" s="436">
        <f ca="1">IFERROR(__xludf.DUMMYFUNCTION("IMPORTRANGE(""https://docs.google.com/spreadsheets/d/1XL5vhW3sbDhbH9Cz0tuDiY8C3ctxq1tqvaCgkFb8cCA/edit?usp=sharing"",""ชัยภูมิ!J390"")"),0)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IFERROR(__xludf.DUMMYFUNCTION("IMPORTRANGE(""https://docs.google.com/spreadsheets/d/1XL5vhW3sbDhbH9Cz0tuDiY8C3ctxq1tqvaCgkFb8cCA/edit?usp=sharing"",""ชัยภูมิ!I391"")"),0)</f>
        <v>0</v>
      </c>
      <c r="J496" s="436">
        <f ca="1">IFERROR(__xludf.DUMMYFUNCTION("IMPORTRANGE(""https://docs.google.com/spreadsheets/d/1XL5vhW3sbDhbH9Cz0tuDiY8C3ctxq1tqvaCgkFb8cCA/edit?usp=sharing"",""ชัยภูมิ!J391"")"),0)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IFERROR(__xludf.DUMMYFUNCTION("IMPORTRANGE(""https://docs.google.com/spreadsheets/d/1XL5vhW3sbDhbH9Cz0tuDiY8C3ctxq1tqvaCgkFb8cCA/edit?usp=sharing"",""ชัยภูมิ!I392"")"),1176)</f>
        <v>1176</v>
      </c>
      <c r="J497" s="443">
        <f ca="1">IFERROR(__xludf.DUMMYFUNCTION("IMPORTRANGE(""https://docs.google.com/spreadsheets/d/1XL5vhW3sbDhbH9Cz0tuDiY8C3ctxq1tqvaCgkFb8cCA/edit?usp=sharing"",""ชัยภูมิ!J392"")"),0)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IFERROR(__xludf.DUMMYFUNCTION("IMPORTRANGE(""https://docs.google.com/spreadsheets/d/1XL5vhW3sbDhbH9Cz0tuDiY8C3ctxq1tqvaCgkFb8cCA/edit?usp=sharing"",""ชัยภูมิ!I393"")"),1176)</f>
        <v>1176</v>
      </c>
      <c r="J498" s="420">
        <f ca="1">IFERROR(__xludf.DUMMYFUNCTION("IMPORTRANGE(""https://docs.google.com/spreadsheets/d/1XL5vhW3sbDhbH9Cz0tuDiY8C3ctxq1tqvaCgkFb8cCA/edit?usp=sharing"",""ชัยภูมิ!J393"")"),0)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IFERROR(__xludf.DUMMYFUNCTION("IMPORTRANGE(""https://docs.google.com/spreadsheets/d/1XL5vhW3sbDhbH9Cz0tuDiY8C3ctxq1tqvaCgkFb8cCA/edit?usp=sharing"",""ชัยภูมิ!I394"")"),151)</f>
        <v>151</v>
      </c>
      <c r="J499" s="420">
        <f ca="1">IFERROR(__xludf.DUMMYFUNCTION("IMPORTRANGE(""https://docs.google.com/spreadsheets/d/1XL5vhW3sbDhbH9Cz0tuDiY8C3ctxq1tqvaCgkFb8cCA/edit?usp=sharing"",""ชัยภูมิ!J394"")"),0)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IFERROR(__xludf.DUMMYFUNCTION("IMPORTRANGE(""https://docs.google.com/spreadsheets/d/1XL5vhW3sbDhbH9Cz0tuDiY8C3ctxq1tqvaCgkFb8cCA/edit?usp=sharing"",""ชัยภูมิ!I395"")"),0)</f>
        <v>0</v>
      </c>
      <c r="J500" s="162">
        <f ca="1">IFERROR(__xludf.DUMMYFUNCTION("IMPORTRANGE(""https://docs.google.com/spreadsheets/d/1XL5vhW3sbDhbH9Cz0tuDiY8C3ctxq1tqvaCgkFb8cCA/edit?usp=sharing"",""ชัยภูมิ!J395"")"),0)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IFERROR(__xludf.DUMMYFUNCTION("IMPORTRANGE(""https://docs.google.com/spreadsheets/d/1XL5vhW3sbDhbH9Cz0tuDiY8C3ctxq1tqvaCgkFb8cCA/edit?usp=sharing"",""ชัยภูมิ!I396"")"),0)</f>
        <v>0</v>
      </c>
      <c r="J501" s="162">
        <f ca="1">IFERROR(__xludf.DUMMYFUNCTION("IMPORTRANGE(""https://docs.google.com/spreadsheets/d/1XL5vhW3sbDhbH9Cz0tuDiY8C3ctxq1tqvaCgkFb8cCA/edit?usp=sharing"",""ชัยภูมิ!J396"")"),0)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IFERROR(__xludf.DUMMYFUNCTION("IMPORTRANGE(""https://docs.google.com/spreadsheets/d/1XL5vhW3sbDhbH9Cz0tuDiY8C3ctxq1tqvaCgkFb8cCA/edit?usp=sharing"",""ชัยภูมิ!I397"")"),0)</f>
        <v>0</v>
      </c>
      <c r="J502" s="189">
        <f ca="1">IFERROR(__xludf.DUMMYFUNCTION("IMPORTRANGE(""https://docs.google.com/spreadsheets/d/1XL5vhW3sbDhbH9Cz0tuDiY8C3ctxq1tqvaCgkFb8cCA/edit?usp=sharing"",""ชัยภูมิ!J397"")"),0)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IFERROR(__xludf.DUMMYFUNCTION("IMPORTRANGE(""https://docs.google.com/spreadsheets/d/1XL5vhW3sbDhbH9Cz0tuDiY8C3ctxq1tqvaCgkFb8cCA/edit?usp=sharing"",""ชัยภูมิ!I398"")"),0)</f>
        <v>0</v>
      </c>
      <c r="J503" s="198">
        <f ca="1">IFERROR(__xludf.DUMMYFUNCTION("IMPORTRANGE(""https://docs.google.com/spreadsheets/d/1XL5vhW3sbDhbH9Cz0tuDiY8C3ctxq1tqvaCgkFb8cCA/edit?usp=sharing"",""ชัยภูมิ!J398"")"),0)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IFERROR(__xludf.DUMMYFUNCTION("IMPORTRANGE(""https://docs.google.com/spreadsheets/d/1XL5vhW3sbDhbH9Cz0tuDiY8C3ctxq1tqvaCgkFb8cCA/edit?usp=sharing"",""ชัยภูมิ!I399"")"),0)</f>
        <v>0</v>
      </c>
      <c r="J504" s="189">
        <f ca="1">IFERROR(__xludf.DUMMYFUNCTION("IMPORTRANGE(""https://docs.google.com/spreadsheets/d/1XL5vhW3sbDhbH9Cz0tuDiY8C3ctxq1tqvaCgkFb8cCA/edit?usp=sharing"",""ชัยภูมิ!J399"")"),0)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IFERROR(__xludf.DUMMYFUNCTION("IMPORTRANGE(""https://docs.google.com/spreadsheets/d/1XL5vhW3sbDhbH9Cz0tuDiY8C3ctxq1tqvaCgkFb8cCA/edit?usp=sharing"",""ชัยภูมิ!I400"")"),0)</f>
        <v>0</v>
      </c>
      <c r="J505" s="198">
        <f ca="1">IFERROR(__xludf.DUMMYFUNCTION("IMPORTRANGE(""https://docs.google.com/spreadsheets/d/1XL5vhW3sbDhbH9Cz0tuDiY8C3ctxq1tqvaCgkFb8cCA/edit?usp=sharing"",""ชัยภูมิ!J400"")"),0)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IFERROR(__xludf.DUMMYFUNCTION("IMPORTRANGE(""https://docs.google.com/spreadsheets/d/1XL5vhW3sbDhbH9Cz0tuDiY8C3ctxq1tqvaCgkFb8cCA/edit?usp=sharing"",""ชัยภูมิ!I401"")"),0)</f>
        <v>0</v>
      </c>
      <c r="J506" s="189">
        <f ca="1">IFERROR(__xludf.DUMMYFUNCTION("IMPORTRANGE(""https://docs.google.com/spreadsheets/d/1XL5vhW3sbDhbH9Cz0tuDiY8C3ctxq1tqvaCgkFb8cCA/edit?usp=sharing"",""ชัยภูมิ!J401"")"),0)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IFERROR(__xludf.DUMMYFUNCTION("IMPORTRANGE(""https://docs.google.com/spreadsheets/d/1XL5vhW3sbDhbH9Cz0tuDiY8C3ctxq1tqvaCgkFb8cCA/edit?usp=sharing"",""ชัยภูมิ!I402"")"),0)</f>
        <v>0</v>
      </c>
      <c r="J507" s="198">
        <f ca="1">IFERROR(__xludf.DUMMYFUNCTION("IMPORTRANGE(""https://docs.google.com/spreadsheets/d/1XL5vhW3sbDhbH9Cz0tuDiY8C3ctxq1tqvaCgkFb8cCA/edit?usp=sharing"",""ชัยภูมิ!J402"")"),0)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IFERROR(__xludf.DUMMYFUNCTION("IMPORTRANGE(""https://docs.google.com/spreadsheets/d/1XL5vhW3sbDhbH9Cz0tuDiY8C3ctxq1tqvaCgkFb8cCA/edit?usp=sharing"",""ชัยภูมิ!I403"")"),0)</f>
        <v>0</v>
      </c>
      <c r="J508" s="162">
        <f ca="1">IFERROR(__xludf.DUMMYFUNCTION("IMPORTRANGE(""https://docs.google.com/spreadsheets/d/1XL5vhW3sbDhbH9Cz0tuDiY8C3ctxq1tqvaCgkFb8cCA/edit?usp=sharing"",""ชัยภูมิ!J403"")"),0)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IFERROR(__xludf.DUMMYFUNCTION("IMPORTRANGE(""https://docs.google.com/spreadsheets/d/1XL5vhW3sbDhbH9Cz0tuDiY8C3ctxq1tqvaCgkFb8cCA/edit?usp=sharing"",""ชัยภูมิ!I404"")"),0)</f>
        <v>0</v>
      </c>
      <c r="J509" s="162">
        <f ca="1">IFERROR(__xludf.DUMMYFUNCTION("IMPORTRANGE(""https://docs.google.com/spreadsheets/d/1XL5vhW3sbDhbH9Cz0tuDiY8C3ctxq1tqvaCgkFb8cCA/edit?usp=sharing"",""ชัยภูมิ!J404"")"),0)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IFERROR(__xludf.DUMMYFUNCTION("IMPORTRANGE(""https://docs.google.com/spreadsheets/d/1XL5vhW3sbDhbH9Cz0tuDiY8C3ctxq1tqvaCgkFb8cCA/edit?usp=sharing"",""ชัยภูมิ!I405"")"),0)</f>
        <v>0</v>
      </c>
      <c r="J510" s="198">
        <f ca="1">IFERROR(__xludf.DUMMYFUNCTION("IMPORTRANGE(""https://docs.google.com/spreadsheets/d/1XL5vhW3sbDhbH9Cz0tuDiY8C3ctxq1tqvaCgkFb8cCA/edit?usp=sharing"",""ชัยภูมิ!J405"")"),0)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IFERROR(__xludf.DUMMYFUNCTION("IMPORTRANGE(""https://docs.google.com/spreadsheets/d/1XL5vhW3sbDhbH9Cz0tuDiY8C3ctxq1tqvaCgkFb8cCA/edit?usp=sharing"",""ชัยภูมิ!I406"")"),0)</f>
        <v>0</v>
      </c>
      <c r="J511" s="198">
        <f ca="1">IFERROR(__xludf.DUMMYFUNCTION("IMPORTRANGE(""https://docs.google.com/spreadsheets/d/1XL5vhW3sbDhbH9Cz0tuDiY8C3ctxq1tqvaCgkFb8cCA/edit?usp=sharing"",""ชัยภูมิ!J406"")"),0)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IFERROR(__xludf.DUMMYFUNCTION("IMPORTRANGE(""https://docs.google.com/spreadsheets/d/1XL5vhW3sbDhbH9Cz0tuDiY8C3ctxq1tqvaCgkFb8cCA/edit?usp=sharing"",""ชัยภูมิ!I407"")"),0)</f>
        <v>0</v>
      </c>
      <c r="J512" s="198">
        <f ca="1">IFERROR(__xludf.DUMMYFUNCTION("IMPORTRANGE(""https://docs.google.com/spreadsheets/d/1XL5vhW3sbDhbH9Cz0tuDiY8C3ctxq1tqvaCgkFb8cCA/edit?usp=sharing"",""ชัยภูมิ!J407"")"),0)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IFERROR(__xludf.DUMMYFUNCTION("IMPORTRANGE(""https://docs.google.com/spreadsheets/d/1XL5vhW3sbDhbH9Cz0tuDiY8C3ctxq1tqvaCgkFb8cCA/edit?usp=sharing"",""ชัยภูมิ!I408"")"),0)</f>
        <v>0</v>
      </c>
      <c r="J513" s="198">
        <f ca="1">IFERROR(__xludf.DUMMYFUNCTION("IMPORTRANGE(""https://docs.google.com/spreadsheets/d/1XL5vhW3sbDhbH9Cz0tuDiY8C3ctxq1tqvaCgkFb8cCA/edit?usp=sharing"",""ชัยภูมิ!J408"")"),0)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IFERROR(__xludf.DUMMYFUNCTION("IMPORTRANGE(""https://docs.google.com/spreadsheets/d/1XL5vhW3sbDhbH9Cz0tuDiY8C3ctxq1tqvaCgkFb8cCA/edit?usp=sharing"",""ชัยภูมิ!I409"")"),0)</f>
        <v>0</v>
      </c>
      <c r="J514" s="198">
        <f ca="1">IFERROR(__xludf.DUMMYFUNCTION("IMPORTRANGE(""https://docs.google.com/spreadsheets/d/1XL5vhW3sbDhbH9Cz0tuDiY8C3ctxq1tqvaCgkFb8cCA/edit?usp=sharing"",""ชัยภูมิ!J409"")"),0)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IFERROR(__xludf.DUMMYFUNCTION("IMPORTRANGE(""https://docs.google.com/spreadsheets/d/1XL5vhW3sbDhbH9Cz0tuDiY8C3ctxq1tqvaCgkFb8cCA/edit?usp=sharing"",""ชัยภูมิ!I410"")"),0)</f>
        <v>0</v>
      </c>
      <c r="J515" s="198">
        <f ca="1">IFERROR(__xludf.DUMMYFUNCTION("IMPORTRANGE(""https://docs.google.com/spreadsheets/d/1XL5vhW3sbDhbH9Cz0tuDiY8C3ctxq1tqvaCgkFb8cCA/edit?usp=sharing"",""ชัยภูมิ!J410"")"),0)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IFERROR(__xludf.DUMMYFUNCTION("IMPORTRANGE(""https://docs.google.com/spreadsheets/d/1XL5vhW3sbDhbH9Cz0tuDiY8C3ctxq1tqvaCgkFb8cCA/edit?usp=sharing"",""ชัยภูมิ!I411"")"),0)</f>
        <v>0</v>
      </c>
      <c r="J516" s="267">
        <f ca="1">IFERROR(__xludf.DUMMYFUNCTION("IMPORTRANGE(""https://docs.google.com/spreadsheets/d/1XL5vhW3sbDhbH9Cz0tuDiY8C3ctxq1tqvaCgkFb8cCA/edit?usp=sharing"",""ชัยภูมิ!J411"")"),0)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IFERROR(__xludf.DUMMYFUNCTION("IMPORTRANGE(""https://docs.google.com/spreadsheets/d/1XL5vhW3sbDhbH9Cz0tuDiY8C3ctxq1tqvaCgkFb8cCA/edit?usp=sharing"",""ชัยภูมิ!I412"")"),0)</f>
        <v>0</v>
      </c>
      <c r="J517" s="284">
        <f ca="1">IFERROR(__xludf.DUMMYFUNCTION("IMPORTRANGE(""https://docs.google.com/spreadsheets/d/1XL5vhW3sbDhbH9Cz0tuDiY8C3ctxq1tqvaCgkFb8cCA/edit?usp=sharing"",""ชัยภูมิ!J412"")"),0)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IFERROR(__xludf.DUMMYFUNCTION("IMPORTRANGE(""https://docs.google.com/spreadsheets/d/1XL5vhW3sbDhbH9Cz0tuDiY8C3ctxq1tqvaCgkFb8cCA/edit?usp=sharing"",""ชัยภูมิ!I413"")"),0)</f>
        <v>0</v>
      </c>
      <c r="J518" s="284">
        <f ca="1">IFERROR(__xludf.DUMMYFUNCTION("IMPORTRANGE(""https://docs.google.com/spreadsheets/d/1XL5vhW3sbDhbH9Cz0tuDiY8C3ctxq1tqvaCgkFb8cCA/edit?usp=sharing"",""ชัยภูมิ!J413"")"),0)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IFERROR(__xludf.DUMMYFUNCTION("IMPORTRANGE(""https://docs.google.com/spreadsheets/d/1XL5vhW3sbDhbH9Cz0tuDiY8C3ctxq1tqvaCgkFb8cCA/edit?usp=sharing"",""ชัยภูมิ!I414"")"),0)</f>
        <v>0</v>
      </c>
      <c r="J519" s="188">
        <f ca="1">IFERROR(__xludf.DUMMYFUNCTION("IMPORTRANGE(""https://docs.google.com/spreadsheets/d/1XL5vhW3sbDhbH9Cz0tuDiY8C3ctxq1tqvaCgkFb8cCA/edit?usp=sharing"",""ชัยภูมิ!J414"")"),0)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IFERROR(__xludf.DUMMYFUNCTION("IMPORTRANGE(""https://docs.google.com/spreadsheets/d/1XL5vhW3sbDhbH9Cz0tuDiY8C3ctxq1tqvaCgkFb8cCA/edit?usp=sharing"",""ชัยภูมิ!I415"")"),0)</f>
        <v>0</v>
      </c>
      <c r="J520" s="188">
        <f ca="1">IFERROR(__xludf.DUMMYFUNCTION("IMPORTRANGE(""https://docs.google.com/spreadsheets/d/1XL5vhW3sbDhbH9Cz0tuDiY8C3ctxq1tqvaCgkFb8cCA/edit?usp=sharing"",""ชัยภูมิ!J415"")"),0)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IFERROR(__xludf.DUMMYFUNCTION("IMPORTRANGE(""https://docs.google.com/spreadsheets/d/1XL5vhW3sbDhbH9Cz0tuDiY8C3ctxq1tqvaCgkFb8cCA/edit?usp=sharing"",""ชัยภูมิ!I416"")"),0)</f>
        <v>0</v>
      </c>
      <c r="J521" s="188">
        <f ca="1">IFERROR(__xludf.DUMMYFUNCTION("IMPORTRANGE(""https://docs.google.com/spreadsheets/d/1XL5vhW3sbDhbH9Cz0tuDiY8C3ctxq1tqvaCgkFb8cCA/edit?usp=sharing"",""ชัยภูมิ!J416"")"),0)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IFERROR(__xludf.DUMMYFUNCTION("IMPORTRANGE(""https://docs.google.com/spreadsheets/d/1XL5vhW3sbDhbH9Cz0tuDiY8C3ctxq1tqvaCgkFb8cCA/edit?usp=sharing"",""ชัยภูมิ!I417"")"),0)</f>
        <v>0</v>
      </c>
      <c r="J522" s="188">
        <f ca="1">IFERROR(__xludf.DUMMYFUNCTION("IMPORTRANGE(""https://docs.google.com/spreadsheets/d/1XL5vhW3sbDhbH9Cz0tuDiY8C3ctxq1tqvaCgkFb8cCA/edit?usp=sharing"",""ชัยภูมิ!J417"")"),0)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IFERROR(__xludf.DUMMYFUNCTION("IMPORTRANGE(""https://docs.google.com/spreadsheets/d/1XL5vhW3sbDhbH9Cz0tuDiY8C3ctxq1tqvaCgkFb8cCA/edit?usp=sharing"",""ชัยภูมิ!I418"")"),0)</f>
        <v>0</v>
      </c>
      <c r="J523" s="188">
        <f ca="1">IFERROR(__xludf.DUMMYFUNCTION("IMPORTRANGE(""https://docs.google.com/spreadsheets/d/1XL5vhW3sbDhbH9Cz0tuDiY8C3ctxq1tqvaCgkFb8cCA/edit?usp=sharing"",""ชัยภูมิ!J418"")"),0)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IFERROR(__xludf.DUMMYFUNCTION("IMPORTRANGE(""https://docs.google.com/spreadsheets/d/1XL5vhW3sbDhbH9Cz0tuDiY8C3ctxq1tqvaCgkFb8cCA/edit?usp=sharing"",""ชัยภูมิ!I419"")"),0)</f>
        <v>0</v>
      </c>
      <c r="J524" s="188">
        <f ca="1">IFERROR(__xludf.DUMMYFUNCTION("IMPORTRANGE(""https://docs.google.com/spreadsheets/d/1XL5vhW3sbDhbH9Cz0tuDiY8C3ctxq1tqvaCgkFb8cCA/edit?usp=sharing"",""ชัยภูมิ!J419"")"),0)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IFERROR(__xludf.DUMMYFUNCTION("IMPORTRANGE(""https://docs.google.com/spreadsheets/d/1XL5vhW3sbDhbH9Cz0tuDiY8C3ctxq1tqvaCgkFb8cCA/edit?usp=sharing"",""ชัยภูมิ!I420"")"),0)</f>
        <v>0</v>
      </c>
      <c r="J525" s="284">
        <f ca="1">IFERROR(__xludf.DUMMYFUNCTION("IMPORTRANGE(""https://docs.google.com/spreadsheets/d/1XL5vhW3sbDhbH9Cz0tuDiY8C3ctxq1tqvaCgkFb8cCA/edit?usp=sharing"",""ชัยภูมิ!J420"")"),0)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IFERROR(__xludf.DUMMYFUNCTION("IMPORTRANGE(""https://docs.google.com/spreadsheets/d/1XL5vhW3sbDhbH9Cz0tuDiY8C3ctxq1tqvaCgkFb8cCA/edit?usp=sharing"",""ชัยภูมิ!I421"")"),0)</f>
        <v>0</v>
      </c>
      <c r="J526" s="284">
        <f ca="1">IFERROR(__xludf.DUMMYFUNCTION("IMPORTRANGE(""https://docs.google.com/spreadsheets/d/1XL5vhW3sbDhbH9Cz0tuDiY8C3ctxq1tqvaCgkFb8cCA/edit?usp=sharing"",""ชัยภูมิ!J421"")"),0)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IFERROR(__xludf.DUMMYFUNCTION("IMPORTRANGE(""https://docs.google.com/spreadsheets/d/1XL5vhW3sbDhbH9Cz0tuDiY8C3ctxq1tqvaCgkFb8cCA/edit?usp=sharing"",""ชัยภูมิ!I422"")"),0)</f>
        <v>0</v>
      </c>
      <c r="J527" s="198">
        <f ca="1">IFERROR(__xludf.DUMMYFUNCTION("IMPORTRANGE(""https://docs.google.com/spreadsheets/d/1XL5vhW3sbDhbH9Cz0tuDiY8C3ctxq1tqvaCgkFb8cCA/edit?usp=sharing"",""ชัยภูมิ!J422"")"),0)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IFERROR(__xludf.DUMMYFUNCTION("IMPORTRANGE(""https://docs.google.com/spreadsheets/d/1XL5vhW3sbDhbH9Cz0tuDiY8C3ctxq1tqvaCgkFb8cCA/edit?usp=sharing"",""ชัยภูมิ!I423"")"),0)</f>
        <v>0</v>
      </c>
      <c r="J528" s="198">
        <f ca="1">IFERROR(__xludf.DUMMYFUNCTION("IMPORTRANGE(""https://docs.google.com/spreadsheets/d/1XL5vhW3sbDhbH9Cz0tuDiY8C3ctxq1tqvaCgkFb8cCA/edit?usp=sharing"",""ชัยภูมิ!J423"")"),0)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IFERROR(__xludf.DUMMYFUNCTION("IMPORTRANGE(""https://docs.google.com/spreadsheets/d/1XL5vhW3sbDhbH9Cz0tuDiY8C3ctxq1tqvaCgkFb8cCA/edit?usp=sharing"",""ชัยภูมิ!I424"")"),0)</f>
        <v>0</v>
      </c>
      <c r="J529" s="198">
        <f ca="1">IFERROR(__xludf.DUMMYFUNCTION("IMPORTRANGE(""https://docs.google.com/spreadsheets/d/1XL5vhW3sbDhbH9Cz0tuDiY8C3ctxq1tqvaCgkFb8cCA/edit?usp=sharing"",""ชัยภูมิ!J424"")"),0)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IFERROR(__xludf.DUMMYFUNCTION("IMPORTRANGE(""https://docs.google.com/spreadsheets/d/1XL5vhW3sbDhbH9Cz0tuDiY8C3ctxq1tqvaCgkFb8cCA/edit?usp=sharing"",""ชัยภูมิ!I425"")"),0)</f>
        <v>0</v>
      </c>
      <c r="J530" s="198">
        <f ca="1">IFERROR(__xludf.DUMMYFUNCTION("IMPORTRANGE(""https://docs.google.com/spreadsheets/d/1XL5vhW3sbDhbH9Cz0tuDiY8C3ctxq1tqvaCgkFb8cCA/edit?usp=sharing"",""ชัยภูมิ!J425"")"),0)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IFERROR(__xludf.DUMMYFUNCTION("IMPORTRANGE(""https://docs.google.com/spreadsheets/d/1XL5vhW3sbDhbH9Cz0tuDiY8C3ctxq1tqvaCgkFb8cCA/edit?usp=sharing"",""ชัยภูมิ!I426"")"),0)</f>
        <v>0</v>
      </c>
      <c r="J531" s="198">
        <f ca="1">IFERROR(__xludf.DUMMYFUNCTION("IMPORTRANGE(""https://docs.google.com/spreadsheets/d/1XL5vhW3sbDhbH9Cz0tuDiY8C3ctxq1tqvaCgkFb8cCA/edit?usp=sharing"",""ชัยภูมิ!J426"")"),0)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IFERROR(__xludf.DUMMYFUNCTION("IMPORTRANGE(""https://docs.google.com/spreadsheets/d/1XL5vhW3sbDhbH9Cz0tuDiY8C3ctxq1tqvaCgkFb8cCA/edit?usp=sharing"",""ชัยภูมิ!I427"")"),0)</f>
        <v>0</v>
      </c>
      <c r="J532" s="466">
        <f ca="1">IFERROR(__xludf.DUMMYFUNCTION("IMPORTRANGE(""https://docs.google.com/spreadsheets/d/1XL5vhW3sbDhbH9Cz0tuDiY8C3ctxq1tqvaCgkFb8cCA/edit?usp=sharing"",""ชัยภูมิ!J427"")"),0)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IFERROR(__xludf.DUMMYFUNCTION("IMPORTRANGE(""https://docs.google.com/spreadsheets/d/1XL5vhW3sbDhbH9Cz0tuDiY8C3ctxq1tqvaCgkFb8cCA/edit?usp=sharing"",""ชัยภูมิ!I428"")"),26)</f>
        <v>26</v>
      </c>
      <c r="J533" s="410">
        <f ca="1">IFERROR(__xludf.DUMMYFUNCTION("IMPORTRANGE(""https://docs.google.com/spreadsheets/d/1XL5vhW3sbDhbH9Cz0tuDiY8C3ctxq1tqvaCgkFb8cCA/edit?usp=sharing"",""ชัยภูมิ!J428"")"),26)</f>
        <v>26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IFERROR(__xludf.DUMMYFUNCTION("IMPORTRANGE(""https://docs.google.com/spreadsheets/d/1XL5vhW3sbDhbH9Cz0tuDiY8C3ctxq1tqvaCgkFb8cCA/edit?usp=sharing"",""ชัยภูมิ!L428"")"),37740)</f>
        <v>37740</v>
      </c>
      <c r="M533" s="412"/>
      <c r="N533" s="412">
        <f ca="1">IFERROR(__xludf.DUMMYFUNCTION("IMPORTRANGE(""https://docs.google.com/spreadsheets/d/1XL5vhW3sbDhbH9Cz0tuDiY8C3ctxq1tqvaCgkFb8cCA/edit?usp=sharing"",""ชัยภูมิ!M428"")"),27634)</f>
        <v>27634</v>
      </c>
      <c r="O533" s="412">
        <f t="shared" ref="O533:O537" ca="1" si="118">+IF(L533&gt;0,N533*100/L533,0)</f>
        <v>73.222045574986751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IFERROR(__xludf.DUMMYFUNCTION("IMPORTRANGE(""https://docs.google.com/spreadsheets/d/1XL5vhW3sbDhbH9Cz0tuDiY8C3ctxq1tqvaCgkFb8cCA/edit?usp=sharing"",""ชัยภูมิ!L429"")"),0)</f>
        <v>0</v>
      </c>
      <c r="M534" s="164"/>
      <c r="N534" s="169">
        <f ca="1">IFERROR(__xludf.DUMMYFUNCTION("IMPORTRANGE(""https://docs.google.com/spreadsheets/d/1XL5vhW3sbDhbH9Cz0tuDiY8C3ctxq1tqvaCgkFb8cCA/edit?usp=sharing"",""ชัยภูมิ!M429"")"),0)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IFERROR(__xludf.DUMMYFUNCTION("IMPORTRANGE(""https://docs.google.com/spreadsheets/d/1XL5vhW3sbDhbH9Cz0tuDiY8C3ctxq1tqvaCgkFb8cCA/edit?usp=sharing"",""ชัยภูมิ!L430"")"),37740)</f>
        <v>37740</v>
      </c>
      <c r="M535" s="165"/>
      <c r="N535" s="169">
        <f ca="1">IFERROR(__xludf.DUMMYFUNCTION("IMPORTRANGE(""https://docs.google.com/spreadsheets/d/1XL5vhW3sbDhbH9Cz0tuDiY8C3ctxq1tqvaCgkFb8cCA/edit?usp=sharing"",""ชัยภูมิ!M430"")"),27634)</f>
        <v>27634</v>
      </c>
      <c r="O535" s="169">
        <f t="shared" ca="1" si="118"/>
        <v>73.222045574986751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IFERROR(__xludf.DUMMYFUNCTION("IMPORTRANGE(""https://docs.google.com/spreadsheets/d/1XL5vhW3sbDhbH9Cz0tuDiY8C3ctxq1tqvaCgkFb8cCA/edit?usp=sharing"",""ชัยภูมิ!L431"")"),0)</f>
        <v>0</v>
      </c>
      <c r="M536" s="169"/>
      <c r="N536" s="169">
        <f ca="1">IFERROR(__xludf.DUMMYFUNCTION("IMPORTRANGE(""https://docs.google.com/spreadsheets/d/1XL5vhW3sbDhbH9Cz0tuDiY8C3ctxq1tqvaCgkFb8cCA/edit?usp=sharing"",""ชัยภูมิ!M431"")"),0)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IFERROR(__xludf.DUMMYFUNCTION("IMPORTRANGE(""https://docs.google.com/spreadsheets/d/1XL5vhW3sbDhbH9Cz0tuDiY8C3ctxq1tqvaCgkFb8cCA/edit?usp=sharing"",""ชัยภูมิ!L432"")"),37740)</f>
        <v>37740</v>
      </c>
      <c r="M537" s="169"/>
      <c r="N537" s="169">
        <f ca="1">IFERROR(__xludf.DUMMYFUNCTION("IMPORTRANGE(""https://docs.google.com/spreadsheets/d/1XL5vhW3sbDhbH9Cz0tuDiY8C3ctxq1tqvaCgkFb8cCA/edit?usp=sharing"",""ชัยภูมิ!M432"")"),27634)</f>
        <v>27634</v>
      </c>
      <c r="O537" s="169">
        <f t="shared" ca="1" si="118"/>
        <v>73.222045574986751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IFERROR(__xludf.DUMMYFUNCTION("IMPORTRANGE(""https://docs.google.com/spreadsheets/d/1XL5vhW3sbDhbH9Cz0tuDiY8C3ctxq1tqvaCgkFb8cCA/edit?usp=sharing"",""ชัยภูมิ!M433"")"),0)</f>
        <v>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IFERROR(__xludf.DUMMYFUNCTION("IMPORTRANGE(""https://docs.google.com/spreadsheets/d/1XL5vhW3sbDhbH9Cz0tuDiY8C3ctxq1tqvaCgkFb8cCA/edit?usp=sharing"",""ชัยภูมิ!M434"")"),18090)</f>
        <v>18090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IFERROR(__xludf.DUMMYFUNCTION("IMPORTRANGE(""https://docs.google.com/spreadsheets/d/1XL5vhW3sbDhbH9Cz0tuDiY8C3ctxq1tqvaCgkFb8cCA/edit?usp=sharing"",""ชัยภูมิ!M435"")"),0)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IFERROR(__xludf.DUMMYFUNCTION("IMPORTRANGE(""https://docs.google.com/spreadsheets/d/1XL5vhW3sbDhbH9Cz0tuDiY8C3ctxq1tqvaCgkFb8cCA/edit?usp=sharing"",""ชัยภูมิ!M436"")"),9544)</f>
        <v>9544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IFERROR(__xludf.DUMMYFUNCTION("IMPORTRANGE(""https://docs.google.com/spreadsheets/d/1XL5vhW3sbDhbH9Cz0tuDiY8C3ctxq1tqvaCgkFb8cCA/edit?usp=sharing"",""ชัยภูมิ!J438"")"),0)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IFERROR(__xludf.DUMMYFUNCTION("IMPORTRANGE(""https://docs.google.com/spreadsheets/d/1XL5vhW3sbDhbH9Cz0tuDiY8C3ctxq1tqvaCgkFb8cCA/edit?usp=sharing"",""ชัยภูมิ!J439"")"),1)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IFERROR(__xludf.DUMMYFUNCTION("IMPORTRANGE(""https://docs.google.com/spreadsheets/d/1XL5vhW3sbDhbH9Cz0tuDiY8C3ctxq1tqvaCgkFb8cCA/edit?usp=sharing"",""ชัยภูมิ!J440"")"),1)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IFERROR(__xludf.DUMMYFUNCTION("IMPORTRANGE(""https://docs.google.com/spreadsheets/d/1XL5vhW3sbDhbH9Cz0tuDiY8C3ctxq1tqvaCgkFb8cCA/edit?usp=sharing"",""ชัยภูมิ!J441"")"),0)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IFERROR(__xludf.DUMMYFUNCTION("IMPORTRANGE(""https://docs.google.com/spreadsheets/d/1XL5vhW3sbDhbH9Cz0tuDiY8C3ctxq1tqvaCgkFb8cCA/edit?usp=sharing"",""ชัยภูมิ!I442"")"),26)</f>
        <v>26</v>
      </c>
      <c r="J547" s="189">
        <f ca="1">IFERROR(__xludf.DUMMYFUNCTION("IMPORTRANGE(""https://docs.google.com/spreadsheets/d/1XL5vhW3sbDhbH9Cz0tuDiY8C3ctxq1tqvaCgkFb8cCA/edit?usp=sharing"",""ชัยภูมิ!J442"")"),26)</f>
        <v>26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IFERROR(__xludf.DUMMYFUNCTION("IMPORTRANGE(""https://docs.google.com/spreadsheets/d/1XL5vhW3sbDhbH9Cz0tuDiY8C3ctxq1tqvaCgkFb8cCA/edit?usp=sharing"",""ชัยภูมิ!J166"")"),0)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IFERROR(__xludf.DUMMYFUNCTION("IMPORTRANGE(""https://docs.google.com/spreadsheets/d/1XL5vhW3sbDhbH9Cz0tuDiY8C3ctxq1tqvaCgkFb8cCA/edit?usp=sharing"",""ชัยภูมิ!J444"")"),0)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IFERROR(__xludf.DUMMYFUNCTION("IMPORTRANGE(""https://docs.google.com/spreadsheets/d/1XL5vhW3sbDhbH9Cz0tuDiY8C3ctxq1tqvaCgkFb8cCA/edit?usp=sharing"",""ชัยภูมิ!J445"")"),0)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IFERROR(__xludf.DUMMYFUNCTION("IMPORTRANGE(""https://docs.google.com/spreadsheets/d/1XL5vhW3sbDhbH9Cz0tuDiY8C3ctxq1tqvaCgkFb8cCA/edit?usp=sharing"",""ชัยภูมิ!I446"")"),0)</f>
        <v>0</v>
      </c>
      <c r="J551" s="410">
        <f ca="1">IFERROR(__xludf.DUMMYFUNCTION("IMPORTRANGE(""https://docs.google.com/spreadsheets/d/1XL5vhW3sbDhbH9Cz0tuDiY8C3ctxq1tqvaCgkFb8cCA/edit?usp=sharing"",""ชัยภูมิ!J446"")"),0)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IFERROR(__xludf.DUMMYFUNCTION("IMPORTRANGE(""https://docs.google.com/spreadsheets/d/1XL5vhW3sbDhbH9Cz0tuDiY8C3ctxq1tqvaCgkFb8cCA/edit?usp=sharing"",""ชัยภูมิ!L446"")"),0)</f>
        <v>0</v>
      </c>
      <c r="M551" s="412"/>
      <c r="N551" s="412">
        <f ca="1">IFERROR(__xludf.DUMMYFUNCTION("IMPORTRANGE(""https://docs.google.com/spreadsheets/d/1XL5vhW3sbDhbH9Cz0tuDiY8C3ctxq1tqvaCgkFb8cCA/edit?usp=sharing"",""ชัยภูมิ!M446"")"),0)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IFERROR(__xludf.DUMMYFUNCTION("IMPORTRANGE(""https://docs.google.com/spreadsheets/d/1XL5vhW3sbDhbH9Cz0tuDiY8C3ctxq1tqvaCgkFb8cCA/edit?usp=sharing"",""ชัยภูมิ!L447"")"),0)</f>
        <v>0</v>
      </c>
      <c r="M552" s="164"/>
      <c r="N552" s="169">
        <f ca="1">IFERROR(__xludf.DUMMYFUNCTION("IMPORTRANGE(""https://docs.google.com/spreadsheets/d/1XL5vhW3sbDhbH9Cz0tuDiY8C3ctxq1tqvaCgkFb8cCA/edit?usp=sharing"",""ชัยภูมิ!M447"")"),0)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IFERROR(__xludf.DUMMYFUNCTION("IMPORTRANGE(""https://docs.google.com/spreadsheets/d/1XL5vhW3sbDhbH9Cz0tuDiY8C3ctxq1tqvaCgkFb8cCA/edit?usp=sharing"",""ชัยภูมิ!L448"")"),0)</f>
        <v>0</v>
      </c>
      <c r="M553" s="165"/>
      <c r="N553" s="169">
        <f ca="1">IFERROR(__xludf.DUMMYFUNCTION("IMPORTRANGE(""https://docs.google.com/spreadsheets/d/1XL5vhW3sbDhbH9Cz0tuDiY8C3ctxq1tqvaCgkFb8cCA/edit?usp=sharing"",""ชัยภูมิ!M448"")"),0)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IFERROR(__xludf.DUMMYFUNCTION("IMPORTRANGE(""https://docs.google.com/spreadsheets/d/1XL5vhW3sbDhbH9Cz0tuDiY8C3ctxq1tqvaCgkFb8cCA/edit?usp=sharing"",""ชัยภูมิ!L449"")"),0)</f>
        <v>0</v>
      </c>
      <c r="M554" s="169"/>
      <c r="N554" s="169">
        <f ca="1">IFERROR(__xludf.DUMMYFUNCTION("IMPORTRANGE(""https://docs.google.com/spreadsheets/d/1XL5vhW3sbDhbH9Cz0tuDiY8C3ctxq1tqvaCgkFb8cCA/edit?usp=sharing"",""ชัยภูมิ!M449"")"),0)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IFERROR(__xludf.DUMMYFUNCTION("IMPORTRANGE(""https://docs.google.com/spreadsheets/d/1XL5vhW3sbDhbH9Cz0tuDiY8C3ctxq1tqvaCgkFb8cCA/edit?usp=sharing"",""ชัยภูมิ!L450"")"),0)</f>
        <v>0</v>
      </c>
      <c r="M555" s="169"/>
      <c r="N555" s="169">
        <f ca="1">IFERROR(__xludf.DUMMYFUNCTION("IMPORTRANGE(""https://docs.google.com/spreadsheets/d/1XL5vhW3sbDhbH9Cz0tuDiY8C3ctxq1tqvaCgkFb8cCA/edit?usp=sharing"",""ชัยภูมิ!M450"")"),0)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IFERROR(__xludf.DUMMYFUNCTION("IMPORTRANGE(""https://docs.google.com/spreadsheets/d/1XL5vhW3sbDhbH9Cz0tuDiY8C3ctxq1tqvaCgkFb8cCA/edit?usp=sharing"",""ชัยภูมิ!M451"")"),0)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IFERROR(__xludf.DUMMYFUNCTION("IMPORTRANGE(""https://docs.google.com/spreadsheets/d/1XL5vhW3sbDhbH9Cz0tuDiY8C3ctxq1tqvaCgkFb8cCA/edit?usp=sharing"",""ชัยภูมิ!M452"")"),0)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IFERROR(__xludf.DUMMYFUNCTION("IMPORTRANGE(""https://docs.google.com/spreadsheets/d/1XL5vhW3sbDhbH9Cz0tuDiY8C3ctxq1tqvaCgkFb8cCA/edit?usp=sharing"",""ชัยภูมิ!M453"")"),0)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IFERROR(__xludf.DUMMYFUNCTION("IMPORTRANGE(""https://docs.google.com/spreadsheets/d/1XL5vhW3sbDhbH9Cz0tuDiY8C3ctxq1tqvaCgkFb8cCA/edit?usp=sharing"",""ชัยภูมิ!M454"")"),0)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IFERROR(__xludf.DUMMYFUNCTION("IMPORTRANGE(""https://docs.google.com/spreadsheets/d/1XL5vhW3sbDhbH9Cz0tuDiY8C3ctxq1tqvaCgkFb8cCA/edit?usp=sharing"",""ชัยภูมิ!I455"")"),0)</f>
        <v>0</v>
      </c>
      <c r="J560" s="162">
        <f ca="1">IFERROR(__xludf.DUMMYFUNCTION("IMPORTRANGE(""https://docs.google.com/spreadsheets/d/1XL5vhW3sbDhbH9Cz0tuDiY8C3ctxq1tqvaCgkFb8cCA/edit?usp=sharing"",""ชัยภูมิ!J455"")"),0)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IFERROR(__xludf.DUMMYFUNCTION("IMPORTRANGE(""https://docs.google.com/spreadsheets/d/1XL5vhW3sbDhbH9Cz0tuDiY8C3ctxq1tqvaCgkFb8cCA/edit?usp=sharing"",""ชัยภูมิ!I456"")"),0)</f>
        <v>0</v>
      </c>
      <c r="J561" s="204">
        <f ca="1">IFERROR(__xludf.DUMMYFUNCTION("IMPORTRANGE(""https://docs.google.com/spreadsheets/d/1XL5vhW3sbDhbH9Cz0tuDiY8C3ctxq1tqvaCgkFb8cCA/edit?usp=sharing"",""ชัยภูมิ!J456"")"),0)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IFERROR(__xludf.DUMMYFUNCTION("IMPORTRANGE(""https://docs.google.com/spreadsheets/d/1XL5vhW3sbDhbH9Cz0tuDiY8C3ctxq1tqvaCgkFb8cCA/edit?usp=sharing"",""ชัยภูมิ!I459"")"),4600)</f>
        <v>4600</v>
      </c>
      <c r="J564" s="371">
        <f ca="1">IFERROR(__xludf.DUMMYFUNCTION("IMPORTRANGE(""https://docs.google.com/spreadsheets/d/1XL5vhW3sbDhbH9Cz0tuDiY8C3ctxq1tqvaCgkFb8cCA/edit?usp=sharing"",""ชัยภูมิ!J459"")"),2343)</f>
        <v>2343</v>
      </c>
      <c r="K564" s="372">
        <f ca="1">IF(I564&gt;0,J564*100/I564,0)</f>
        <v>50.934782608695649</v>
      </c>
      <c r="L564" s="373">
        <f ca="1">IFERROR(__xludf.DUMMYFUNCTION("IMPORTRANGE(""https://docs.google.com/spreadsheets/d/1XL5vhW3sbDhbH9Cz0tuDiY8C3ctxq1tqvaCgkFb8cCA/edit?usp=sharing"",""ชัยภูมิ!L459"")"),172800)</f>
        <v>172800</v>
      </c>
      <c r="M564" s="373"/>
      <c r="N564" s="373">
        <f ca="1">IFERROR(__xludf.DUMMYFUNCTION("IMPORTRANGE(""https://docs.google.com/spreadsheets/d/1XL5vhW3sbDhbH9Cz0tuDiY8C3ctxq1tqvaCgkFb8cCA/edit?usp=sharing"",""ชัยภูมิ!M459"")"),21318)</f>
        <v>21318</v>
      </c>
      <c r="O564" s="373">
        <f t="shared" ref="O564:O568" ca="1" si="122">+IF(L564&gt;0,N564*100/L564,0)</f>
        <v>12.336805555555555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IFERROR(__xludf.DUMMYFUNCTION("IMPORTRANGE(""https://docs.google.com/spreadsheets/d/1XL5vhW3sbDhbH9Cz0tuDiY8C3ctxq1tqvaCgkFb8cCA/edit?usp=sharing"",""ชัยภูมิ!L460"")"),0)</f>
        <v>0</v>
      </c>
      <c r="M565" s="164"/>
      <c r="N565" s="169">
        <f ca="1">IFERROR(__xludf.DUMMYFUNCTION("IMPORTRANGE(""https://docs.google.com/spreadsheets/d/1XL5vhW3sbDhbH9Cz0tuDiY8C3ctxq1tqvaCgkFb8cCA/edit?usp=sharing"",""ชัยภูมิ!M460"")"),0)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IFERROR(__xludf.DUMMYFUNCTION("IMPORTRANGE(""https://docs.google.com/spreadsheets/d/1XL5vhW3sbDhbH9Cz0tuDiY8C3ctxq1tqvaCgkFb8cCA/edit?usp=sharing"",""ชัยภูมิ!L461"")"),172800)</f>
        <v>172800</v>
      </c>
      <c r="M566" s="165"/>
      <c r="N566" s="169">
        <f ca="1">IFERROR(__xludf.DUMMYFUNCTION("IMPORTRANGE(""https://docs.google.com/spreadsheets/d/1XL5vhW3sbDhbH9Cz0tuDiY8C3ctxq1tqvaCgkFb8cCA/edit?usp=sharing"",""ชัยภูมิ!M461"")"),21318)</f>
        <v>21318</v>
      </c>
      <c r="O566" s="169">
        <f t="shared" ca="1" si="122"/>
        <v>12.336805555555555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IFERROR(__xludf.DUMMYFUNCTION("IMPORTRANGE(""https://docs.google.com/spreadsheets/d/1XL5vhW3sbDhbH9Cz0tuDiY8C3ctxq1tqvaCgkFb8cCA/edit?usp=sharing"",""ชัยภูมิ!L462"")"),0)</f>
        <v>0</v>
      </c>
      <c r="M567" s="169"/>
      <c r="N567" s="169">
        <f ca="1">IFERROR(__xludf.DUMMYFUNCTION("IMPORTRANGE(""https://docs.google.com/spreadsheets/d/1XL5vhW3sbDhbH9Cz0tuDiY8C3ctxq1tqvaCgkFb8cCA/edit?usp=sharing"",""ชัยภูมิ!M462"")"),0)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IFERROR(__xludf.DUMMYFUNCTION("IMPORTRANGE(""https://docs.google.com/spreadsheets/d/1XL5vhW3sbDhbH9Cz0tuDiY8C3ctxq1tqvaCgkFb8cCA/edit?usp=sharing"",""ชัยภูมิ!L463"")"),172800)</f>
        <v>172800</v>
      </c>
      <c r="M568" s="169"/>
      <c r="N568" s="169">
        <f ca="1">IFERROR(__xludf.DUMMYFUNCTION("IMPORTRANGE(""https://docs.google.com/spreadsheets/d/1XL5vhW3sbDhbH9Cz0tuDiY8C3ctxq1tqvaCgkFb8cCA/edit?usp=sharing"",""ชัยภูมิ!M463"")"),21318)</f>
        <v>21318</v>
      </c>
      <c r="O568" s="169">
        <f t="shared" ca="1" si="122"/>
        <v>12.336805555555555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IFERROR(__xludf.DUMMYFUNCTION("IMPORTRANGE(""https://docs.google.com/spreadsheets/d/1XL5vhW3sbDhbH9Cz0tuDiY8C3ctxq1tqvaCgkFb8cCA/edit?usp=sharing"",""ชัยภูมิ!M464"")"),0)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IFERROR(__xludf.DUMMYFUNCTION("IMPORTRANGE(""https://docs.google.com/spreadsheets/d/1XL5vhW3sbDhbH9Cz0tuDiY8C3ctxq1tqvaCgkFb8cCA/edit?usp=sharing"",""ชัยภูมิ!M465"")"),0)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IFERROR(__xludf.DUMMYFUNCTION("IMPORTRANGE(""https://docs.google.com/spreadsheets/d/1XL5vhW3sbDhbH9Cz0tuDiY8C3ctxq1tqvaCgkFb8cCA/edit?usp=sharing"",""ชัยภูมิ!M466"")"),11000)</f>
        <v>11000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IFERROR(__xludf.DUMMYFUNCTION("IMPORTRANGE(""https://docs.google.com/spreadsheets/d/1XL5vhW3sbDhbH9Cz0tuDiY8C3ctxq1tqvaCgkFb8cCA/edit?usp=sharing"",""ชัยภูมิ!M467"")"),10318)</f>
        <v>10318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IFERROR(__xludf.DUMMYFUNCTION("IMPORTRANGE(""https://docs.google.com/spreadsheets/d/1XL5vhW3sbDhbH9Cz0tuDiY8C3ctxq1tqvaCgkFb8cCA/edit?usp=sharing"",""ชัยภูมิ!I468"")"),4600)</f>
        <v>4600</v>
      </c>
      <c r="J573" s="420">
        <f ca="1">IFERROR(__xludf.DUMMYFUNCTION("IMPORTRANGE(""https://docs.google.com/spreadsheets/d/1XL5vhW3sbDhbH9Cz0tuDiY8C3ctxq1tqvaCgkFb8cCA/edit?usp=sharing"",""ชัยภูมิ!J468"")"),2343)</f>
        <v>2343</v>
      </c>
      <c r="K573" s="202">
        <f ca="1">IF(I573&gt;0,J573*100/I573,0)</f>
        <v>50.934782608695649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IFERROR(__xludf.DUMMYFUNCTION("IMPORTRANGE(""https://docs.google.com/spreadsheets/d/1XL5vhW3sbDhbH9Cz0tuDiY8C3ctxq1tqvaCgkFb8cCA/edit?usp=sharing"",""ชัยภูมิ!I470"")"),0)</f>
        <v>0</v>
      </c>
      <c r="J575" s="198">
        <f ca="1">IFERROR(__xludf.DUMMYFUNCTION("IMPORTRANGE(""https://docs.google.com/spreadsheets/d/1XL5vhW3sbDhbH9Cz0tuDiY8C3ctxq1tqvaCgkFb8cCA/edit?usp=sharing"",""ชัยภูมิ!J470"")"),1)</f>
        <v>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IFERROR(__xludf.DUMMYFUNCTION("IMPORTRANGE(""https://docs.google.com/spreadsheets/d/1XL5vhW3sbDhbH9Cz0tuDiY8C3ctxq1tqvaCgkFb8cCA/edit?usp=sharing"",""ชัยภูมิ!I471"")"),0)</f>
        <v>0</v>
      </c>
      <c r="J576" s="198">
        <f ca="1">IFERROR(__xludf.DUMMYFUNCTION("IMPORTRANGE(""https://docs.google.com/spreadsheets/d/1XL5vhW3sbDhbH9Cz0tuDiY8C3ctxq1tqvaCgkFb8cCA/edit?usp=sharing"",""ชัยภูมิ!J471"")"),42)</f>
        <v>42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IFERROR(__xludf.DUMMYFUNCTION("IMPORTRANGE(""https://docs.google.com/spreadsheets/d/1XL5vhW3sbDhbH9Cz0tuDiY8C3ctxq1tqvaCgkFb8cCA/edit?usp=sharing"",""ชัยภูมิ!I472"")"),0)</f>
        <v>0</v>
      </c>
      <c r="J577" s="189">
        <f ca="1">IFERROR(__xludf.DUMMYFUNCTION("IMPORTRANGE(""https://docs.google.com/spreadsheets/d/1XL5vhW3sbDhbH9Cz0tuDiY8C3ctxq1tqvaCgkFb8cCA/edit?usp=sharing"",""ชัยภูมิ!J472"")"),2301)</f>
        <v>2301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IFERROR(__xludf.DUMMYFUNCTION("IMPORTRANGE(""https://docs.google.com/spreadsheets/d/1XL5vhW3sbDhbH9Cz0tuDiY8C3ctxq1tqvaCgkFb8cCA/edit?usp=sharing"",""ชัยภูมิ!I473"")"),0)</f>
        <v>0</v>
      </c>
      <c r="J578" s="198">
        <f ca="1">IFERROR(__xludf.DUMMYFUNCTION("IMPORTRANGE(""https://docs.google.com/spreadsheets/d/1XL5vhW3sbDhbH9Cz0tuDiY8C3ctxq1tqvaCgkFb8cCA/edit?usp=sharing"",""ชัยภูมิ!J473"")"),0)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IFERROR(__xludf.DUMMYFUNCTION("IMPORTRANGE(""https://docs.google.com/spreadsheets/d/1XL5vhW3sbDhbH9Cz0tuDiY8C3ctxq1tqvaCgkFb8cCA/edit?usp=sharing"",""ชัยภูมิ!I474"")"),0)</f>
        <v>0</v>
      </c>
      <c r="J579" s="198">
        <f ca="1">IFERROR(__xludf.DUMMYFUNCTION("IMPORTRANGE(""https://docs.google.com/spreadsheets/d/1XL5vhW3sbDhbH9Cz0tuDiY8C3ctxq1tqvaCgkFb8cCA/edit?usp=sharing"",""ชัยภูมิ!J474"")"),0)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IFERROR(__xludf.DUMMYFUNCTION("IMPORTRANGE(""https://docs.google.com/spreadsheets/d/1XL5vhW3sbDhbH9Cz0tuDiY8C3ctxq1tqvaCgkFb8cCA/edit?usp=sharing"",""ชัยภูมิ!I475"")"),0)</f>
        <v>0</v>
      </c>
      <c r="J580" s="371">
        <f ca="1">IFERROR(__xludf.DUMMYFUNCTION("IMPORTRANGE(""https://docs.google.com/spreadsheets/d/1XL5vhW3sbDhbH9Cz0tuDiY8C3ctxq1tqvaCgkFb8cCA/edit?usp=sharing"",""ชัยภูมิ!J475"")"),19)</f>
        <v>19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IFERROR(__xludf.DUMMYFUNCTION("IMPORTRANGE(""https://docs.google.com/spreadsheets/d/1XL5vhW3sbDhbH9Cz0tuDiY8C3ctxq1tqvaCgkFb8cCA/edit?usp=sharing"",""ชัยภูมิ!L475"")"),0)</f>
        <v>0</v>
      </c>
      <c r="M580" s="373"/>
      <c r="N580" s="373">
        <f ca="1">IFERROR(__xludf.DUMMYFUNCTION("IMPORTRANGE(""https://docs.google.com/spreadsheets/d/1XL5vhW3sbDhbH9Cz0tuDiY8C3ctxq1tqvaCgkFb8cCA/edit?usp=sharing"",""ชัยภูมิ!M475"")"),0)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IFERROR(__xludf.DUMMYFUNCTION("IMPORTRANGE(""https://docs.google.com/spreadsheets/d/1XL5vhW3sbDhbH9Cz0tuDiY8C3ctxq1tqvaCgkFb8cCA/edit?usp=sharing"",""ชัยภูมิ!L476"")"),0)</f>
        <v>0</v>
      </c>
      <c r="M581" s="164"/>
      <c r="N581" s="169">
        <f ca="1">IFERROR(__xludf.DUMMYFUNCTION("IMPORTRANGE(""https://docs.google.com/spreadsheets/d/1XL5vhW3sbDhbH9Cz0tuDiY8C3ctxq1tqvaCgkFb8cCA/edit?usp=sharing"",""ชัยภูมิ!M476"")"),0)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IFERROR(__xludf.DUMMYFUNCTION("IMPORTRANGE(""https://docs.google.com/spreadsheets/d/1XL5vhW3sbDhbH9Cz0tuDiY8C3ctxq1tqvaCgkFb8cCA/edit?usp=sharing"",""ชัยภูมิ!L477"")"),0)</f>
        <v>0</v>
      </c>
      <c r="M582" s="165"/>
      <c r="N582" s="169">
        <f ca="1">IFERROR(__xludf.DUMMYFUNCTION("IMPORTRANGE(""https://docs.google.com/spreadsheets/d/1XL5vhW3sbDhbH9Cz0tuDiY8C3ctxq1tqvaCgkFb8cCA/edit?usp=sharing"",""ชัยภูมิ!M477"")"),0)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IFERROR(__xludf.DUMMYFUNCTION("IMPORTRANGE(""https://docs.google.com/spreadsheets/d/1XL5vhW3sbDhbH9Cz0tuDiY8C3ctxq1tqvaCgkFb8cCA/edit?usp=sharing"",""ชัยภูมิ!L478"")"),0)</f>
        <v>0</v>
      </c>
      <c r="M583" s="169"/>
      <c r="N583" s="169">
        <f ca="1">IFERROR(__xludf.DUMMYFUNCTION("IMPORTRANGE(""https://docs.google.com/spreadsheets/d/1XL5vhW3sbDhbH9Cz0tuDiY8C3ctxq1tqvaCgkFb8cCA/edit?usp=sharing"",""ชัยภูมิ!M478"")"),0)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IFERROR(__xludf.DUMMYFUNCTION("IMPORTRANGE(""https://docs.google.com/spreadsheets/d/1XL5vhW3sbDhbH9Cz0tuDiY8C3ctxq1tqvaCgkFb8cCA/edit?usp=sharing"",""ชัยภูมิ!L479"")"),0)</f>
        <v>0</v>
      </c>
      <c r="M584" s="169"/>
      <c r="N584" s="169">
        <f ca="1">IFERROR(__xludf.DUMMYFUNCTION("IMPORTRANGE(""https://docs.google.com/spreadsheets/d/1XL5vhW3sbDhbH9Cz0tuDiY8C3ctxq1tqvaCgkFb8cCA/edit?usp=sharing"",""ชัยภูมิ!M479"")"),0)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IFERROR(__xludf.DUMMYFUNCTION("IMPORTRANGE(""https://docs.google.com/spreadsheets/d/1XL5vhW3sbDhbH9Cz0tuDiY8C3ctxq1tqvaCgkFb8cCA/edit?usp=sharing"",""ชัยภูมิ!M480"")"),0)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IFERROR(__xludf.DUMMYFUNCTION("IMPORTRANGE(""https://docs.google.com/spreadsheets/d/1XL5vhW3sbDhbH9Cz0tuDiY8C3ctxq1tqvaCgkFb8cCA/edit?usp=sharing"",""ชัยภูมิ!M481"")"),0)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IFERROR(__xludf.DUMMYFUNCTION("IMPORTRANGE(""https://docs.google.com/spreadsheets/d/1XL5vhW3sbDhbH9Cz0tuDiY8C3ctxq1tqvaCgkFb8cCA/edit?usp=sharing"",""ชัยภูมิ!M482"")"),0)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IFERROR(__xludf.DUMMYFUNCTION("IMPORTRANGE(""https://docs.google.com/spreadsheets/d/1XL5vhW3sbDhbH9Cz0tuDiY8C3ctxq1tqvaCgkFb8cCA/edit?usp=sharing"",""ชัยภูมิ!M483"")"),0)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IFERROR(__xludf.DUMMYFUNCTION("IMPORTRANGE(""https://docs.google.com/spreadsheets/d/1XL5vhW3sbDhbH9Cz0tuDiY8C3ctxq1tqvaCgkFb8cCA/edit?usp=sharing"",""ชัยภูมิ!I484"")"),0)</f>
        <v>0</v>
      </c>
      <c r="J589" s="188">
        <f ca="1">IFERROR(__xludf.DUMMYFUNCTION("IMPORTRANGE(""https://docs.google.com/spreadsheets/d/1XL5vhW3sbDhbH9Cz0tuDiY8C3ctxq1tqvaCgkFb8cCA/edit?usp=sharing"",""ชัยภูมิ!J484"")"),0)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IFERROR(__xludf.DUMMYFUNCTION("IMPORTRANGE(""https://docs.google.com/spreadsheets/d/1XL5vhW3sbDhbH9Cz0tuDiY8C3ctxq1tqvaCgkFb8cCA/edit?usp=sharing"",""ชัยภูมิ!I485"")"),0)</f>
        <v>0</v>
      </c>
      <c r="J590" s="188">
        <f ca="1">IFERROR(__xludf.DUMMYFUNCTION("IMPORTRANGE(""https://docs.google.com/spreadsheets/d/1XL5vhW3sbDhbH9Cz0tuDiY8C3ctxq1tqvaCgkFb8cCA/edit?usp=sharing"",""ชัยภูมิ!J485"")"),0)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IFERROR(__xludf.DUMMYFUNCTION("IMPORTRANGE(""https://docs.google.com/spreadsheets/d/1XL5vhW3sbDhbH9Cz0tuDiY8C3ctxq1tqvaCgkFb8cCA/edit?usp=sharing"",""ชัยภูมิ!I486"")"),0)</f>
        <v>0</v>
      </c>
      <c r="J591" s="188">
        <f ca="1">IFERROR(__xludf.DUMMYFUNCTION("IMPORTRANGE(""https://docs.google.com/spreadsheets/d/1XL5vhW3sbDhbH9Cz0tuDiY8C3ctxq1tqvaCgkFb8cCA/edit?usp=sharing"",""ชัยภูมิ!J486"")"),21)</f>
        <v>21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IFERROR(__xludf.DUMMYFUNCTION("IMPORTRANGE(""https://docs.google.com/spreadsheets/d/1XL5vhW3sbDhbH9Cz0tuDiY8C3ctxq1tqvaCgkFb8cCA/edit?usp=sharing"",""ชัยภูมิ!I487"")"),0)</f>
        <v>0</v>
      </c>
      <c r="J592" s="188">
        <f ca="1">IFERROR(__xludf.DUMMYFUNCTION("IMPORTRANGE(""https://docs.google.com/spreadsheets/d/1XL5vhW3sbDhbH9Cz0tuDiY8C3ctxq1tqvaCgkFb8cCA/edit?usp=sharing"",""ชัยภูมิ!J487"")"),12)</f>
        <v>12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IFERROR(__xludf.DUMMYFUNCTION("IMPORTRANGE(""https://docs.google.com/spreadsheets/d/1XL5vhW3sbDhbH9Cz0tuDiY8C3ctxq1tqvaCgkFb8cCA/edit?usp=sharing"",""ชัยภูมิ!I488"")"),0)</f>
        <v>0</v>
      </c>
      <c r="J593" s="188">
        <f ca="1">IFERROR(__xludf.DUMMYFUNCTION("IMPORTRANGE(""https://docs.google.com/spreadsheets/d/1XL5vhW3sbDhbH9Cz0tuDiY8C3ctxq1tqvaCgkFb8cCA/edit?usp=sharing"",""ชัยภูมิ!J488"")"),0)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IFERROR(__xludf.DUMMYFUNCTION("IMPORTRANGE(""https://docs.google.com/spreadsheets/d/1XL5vhW3sbDhbH9Cz0tuDiY8C3ctxq1tqvaCgkFb8cCA/edit?usp=sharing"",""ชัยภูมิ!I489"")"),0)</f>
        <v>0</v>
      </c>
      <c r="J594" s="188">
        <f ca="1">IFERROR(__xludf.DUMMYFUNCTION("IMPORTRANGE(""https://docs.google.com/spreadsheets/d/1XL5vhW3sbDhbH9Cz0tuDiY8C3ctxq1tqvaCgkFb8cCA/edit?usp=sharing"",""ชัยภูมิ!J489"")"),0)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IFERROR(__xludf.DUMMYFUNCTION("IMPORTRANGE(""https://docs.google.com/spreadsheets/d/1XL5vhW3sbDhbH9Cz0tuDiY8C3ctxq1tqvaCgkFb8cCA/edit?usp=sharing"",""ชัยภูมิ!I490"")"),0)</f>
        <v>0</v>
      </c>
      <c r="J595" s="188">
        <f ca="1">IFERROR(__xludf.DUMMYFUNCTION("IMPORTRANGE(""https://docs.google.com/spreadsheets/d/1XL5vhW3sbDhbH9Cz0tuDiY8C3ctxq1tqvaCgkFb8cCA/edit?usp=sharing"",""ชัยภูมิ!J490"")"),19)</f>
        <v>19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IFERROR(__xludf.DUMMYFUNCTION("IMPORTRANGE(""https://docs.google.com/spreadsheets/d/1XL5vhW3sbDhbH9Cz0tuDiY8C3ctxq1tqvaCgkFb8cCA/edit?usp=sharing"",""ชัยภูมิ!I491"")"),0)</f>
        <v>0</v>
      </c>
      <c r="J596" s="241">
        <f ca="1">IFERROR(__xludf.DUMMYFUNCTION("IMPORTRANGE(""https://docs.google.com/spreadsheets/d/1XL5vhW3sbDhbH9Cz0tuDiY8C3ctxq1tqvaCgkFb8cCA/edit?usp=sharing"",""ชัยภูมิ!J491"")"),11.09)</f>
        <v>11.09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IFERROR(__xludf.DUMMYFUNCTION("IMPORTRANGE(""https://docs.google.com/spreadsheets/d/1XL5vhW3sbDhbH9Cz0tuDiY8C3ctxq1tqvaCgkFb8cCA/edit?usp=sharing"",""ชัยภูมิ!I492"")"),100)</f>
        <v>100</v>
      </c>
      <c r="J597" s="487">
        <f ca="1">IFERROR(__xludf.DUMMYFUNCTION("IMPORTRANGE(""https://docs.google.com/spreadsheets/d/1XL5vhW3sbDhbH9Cz0tuDiY8C3ctxq1tqvaCgkFb8cCA/edit?usp=sharing"",""ชัยภูมิ!J492"")"),0)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IFERROR(__xludf.DUMMYFUNCTION("IMPORTRANGE(""https://docs.google.com/spreadsheets/d/1XL5vhW3sbDhbH9Cz0tuDiY8C3ctxq1tqvaCgkFb8cCA/edit?usp=sharing"",""ชัยภูมิ!L492"")"),7300)</f>
        <v>7300</v>
      </c>
      <c r="M597" s="412"/>
      <c r="N597" s="412">
        <f ca="1">IFERROR(__xludf.DUMMYFUNCTION("IMPORTRANGE(""https://docs.google.com/spreadsheets/d/1XL5vhW3sbDhbH9Cz0tuDiY8C3ctxq1tqvaCgkFb8cCA/edit?usp=sharing"",""ชัยภูมิ!M492"")"),720)</f>
        <v>720</v>
      </c>
      <c r="O597" s="412">
        <f t="shared" ref="O597:O601" ca="1" si="126">+IF(L597&gt;0,N597*100/L597,0)</f>
        <v>9.8630136986301373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IFERROR(__xludf.DUMMYFUNCTION("IMPORTRANGE(""https://docs.google.com/spreadsheets/d/1XL5vhW3sbDhbH9Cz0tuDiY8C3ctxq1tqvaCgkFb8cCA/edit?usp=sharing"",""ชัยภูมิ!L493"")"),0)</f>
        <v>0</v>
      </c>
      <c r="M598" s="164"/>
      <c r="N598" s="169">
        <f ca="1">IFERROR(__xludf.DUMMYFUNCTION("IMPORTRANGE(""https://docs.google.com/spreadsheets/d/1XL5vhW3sbDhbH9Cz0tuDiY8C3ctxq1tqvaCgkFb8cCA/edit?usp=sharing"",""ชัยภูมิ!M493"")"),0)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IFERROR(__xludf.DUMMYFUNCTION("IMPORTRANGE(""https://docs.google.com/spreadsheets/d/1XL5vhW3sbDhbH9Cz0tuDiY8C3ctxq1tqvaCgkFb8cCA/edit?usp=sharing"",""ชัยภูมิ!L494"")"),7300)</f>
        <v>7300</v>
      </c>
      <c r="M599" s="165"/>
      <c r="N599" s="169">
        <f ca="1">IFERROR(__xludf.DUMMYFUNCTION("IMPORTRANGE(""https://docs.google.com/spreadsheets/d/1XL5vhW3sbDhbH9Cz0tuDiY8C3ctxq1tqvaCgkFb8cCA/edit?usp=sharing"",""ชัยภูมิ!M494"")"),720)</f>
        <v>720</v>
      </c>
      <c r="O599" s="169">
        <f t="shared" ca="1" si="126"/>
        <v>9.8630136986301373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IFERROR(__xludf.DUMMYFUNCTION("IMPORTRANGE(""https://docs.google.com/spreadsheets/d/1XL5vhW3sbDhbH9Cz0tuDiY8C3ctxq1tqvaCgkFb8cCA/edit?usp=sharing"",""ชัยภูมิ!L495"")"),0)</f>
        <v>0</v>
      </c>
      <c r="M600" s="169"/>
      <c r="N600" s="169">
        <f ca="1">IFERROR(__xludf.DUMMYFUNCTION("IMPORTRANGE(""https://docs.google.com/spreadsheets/d/1XL5vhW3sbDhbH9Cz0tuDiY8C3ctxq1tqvaCgkFb8cCA/edit?usp=sharing"",""ชัยภูมิ!M495"")"),0)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IFERROR(__xludf.DUMMYFUNCTION("IMPORTRANGE(""https://docs.google.com/spreadsheets/d/1XL5vhW3sbDhbH9Cz0tuDiY8C3ctxq1tqvaCgkFb8cCA/edit?usp=sharing"",""ชัยภูมิ!L496"")"),7300)</f>
        <v>7300</v>
      </c>
      <c r="M601" s="169"/>
      <c r="N601" s="169">
        <f ca="1">IFERROR(__xludf.DUMMYFUNCTION("IMPORTRANGE(""https://docs.google.com/spreadsheets/d/1XL5vhW3sbDhbH9Cz0tuDiY8C3ctxq1tqvaCgkFb8cCA/edit?usp=sharing"",""ชัยภูมิ!M496"")"),720)</f>
        <v>720</v>
      </c>
      <c r="O601" s="169">
        <f t="shared" ca="1" si="126"/>
        <v>9.8630136986301373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IFERROR(__xludf.DUMMYFUNCTION("IMPORTRANGE(""https://docs.google.com/spreadsheets/d/1XL5vhW3sbDhbH9Cz0tuDiY8C3ctxq1tqvaCgkFb8cCA/edit?usp=sharing"",""ชัยภูมิ!M497"")"),0)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IFERROR(__xludf.DUMMYFUNCTION("IMPORTRANGE(""https://docs.google.com/spreadsheets/d/1XL5vhW3sbDhbH9Cz0tuDiY8C3ctxq1tqvaCgkFb8cCA/edit?usp=sharing"",""ชัยภูมิ!M498"")"),0)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IFERROR(__xludf.DUMMYFUNCTION("IMPORTRANGE(""https://docs.google.com/spreadsheets/d/1XL5vhW3sbDhbH9Cz0tuDiY8C3ctxq1tqvaCgkFb8cCA/edit?usp=sharing"",""ชัยภูมิ!M499"")"),0)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IFERROR(__xludf.DUMMYFUNCTION("IMPORTRANGE(""https://docs.google.com/spreadsheets/d/1XL5vhW3sbDhbH9Cz0tuDiY8C3ctxq1tqvaCgkFb8cCA/edit?usp=sharing"",""ชัยภูมิ!M500"")"),720)</f>
        <v>720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IFERROR(__xludf.DUMMYFUNCTION("IMPORTRANGE(""https://docs.google.com/spreadsheets/d/1XL5vhW3sbDhbH9Cz0tuDiY8C3ctxq1tqvaCgkFb8cCA/edit?usp=sharing"",""ชัยภูมิ!J502"")"),0)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IFERROR(__xludf.DUMMYFUNCTION("IMPORTRANGE(""https://docs.google.com/spreadsheets/d/1XL5vhW3sbDhbH9Cz0tuDiY8C3ctxq1tqvaCgkFb8cCA/edit?usp=sharing"",""ชัยภูมิ!J503"")"),1)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IFERROR(__xludf.DUMMYFUNCTION("IMPORTRANGE(""https://docs.google.com/spreadsheets/d/1XL5vhW3sbDhbH9Cz0tuDiY8C3ctxq1tqvaCgkFb8cCA/edit?usp=sharing"",""ชัยภูมิ!J166"")"),0)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IFERROR(__xludf.DUMMYFUNCTION("IMPORTRANGE(""https://docs.google.com/spreadsheets/d/1XL5vhW3sbDhbH9Cz0tuDiY8C3ctxq1tqvaCgkFb8cCA/edit?usp=sharing"",""ชัยภูมิ!J166"")"),0)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IFERROR(__xludf.DUMMYFUNCTION("IMPORTRANGE(""https://docs.google.com/spreadsheets/d/1XL5vhW3sbDhbH9Cz0tuDiY8C3ctxq1tqvaCgkFb8cCA/edit?usp=sharing"",""ชัยภูมิ!I506"")"),100)</f>
        <v>100</v>
      </c>
      <c r="J611" s="162">
        <f ca="1">IFERROR(__xludf.DUMMYFUNCTION("IMPORTRANGE(""https://docs.google.com/spreadsheets/d/1XL5vhW3sbDhbH9Cz0tuDiY8C3ctxq1tqvaCgkFb8cCA/edit?usp=sharing"",""ชัยภูมิ!J506"")"),0)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IFERROR(__xludf.DUMMYFUNCTION("IMPORTRANGE(""https://docs.google.com/spreadsheets/d/1XL5vhW3sbDhbH9Cz0tuDiY8C3ctxq1tqvaCgkFb8cCA/edit?usp=sharing"",""ชัยภูมิ!I507"")"),0)</f>
        <v>0</v>
      </c>
      <c r="J612" s="198">
        <f ca="1">IFERROR(__xludf.DUMMYFUNCTION("IMPORTRANGE(""https://docs.google.com/spreadsheets/d/1XL5vhW3sbDhbH9Cz0tuDiY8C3ctxq1tqvaCgkFb8cCA/edit?usp=sharing"",""ชัยภูมิ!J507"")"),0)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IFERROR(__xludf.DUMMYFUNCTION("IMPORTRANGE(""https://docs.google.com/spreadsheets/d/1XL5vhW3sbDhbH9Cz0tuDiY8C3ctxq1tqvaCgkFb8cCA/edit?usp=sharing"",""ชัยภูมิ!I508"")"),0)</f>
        <v>0</v>
      </c>
      <c r="J613" s="198">
        <f ca="1">IFERROR(__xludf.DUMMYFUNCTION("IMPORTRANGE(""https://docs.google.com/spreadsheets/d/1XL5vhW3sbDhbH9Cz0tuDiY8C3ctxq1tqvaCgkFb8cCA/edit?usp=sharing"",""ชัยภูมิ!J508"")"),0)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IFERROR(__xludf.DUMMYFUNCTION("IMPORTRANGE(""https://docs.google.com/spreadsheets/d/1XL5vhW3sbDhbH9Cz0tuDiY8C3ctxq1tqvaCgkFb8cCA/edit?usp=sharing"",""ชัยภูมิ!I509"")"),0)</f>
        <v>0</v>
      </c>
      <c r="J614" s="198">
        <f ca="1">IFERROR(__xludf.DUMMYFUNCTION("IMPORTRANGE(""https://docs.google.com/spreadsheets/d/1XL5vhW3sbDhbH9Cz0tuDiY8C3ctxq1tqvaCgkFb8cCA/edit?usp=sharing"",""ชัยภูมิ!J509"")"),0)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IFERROR(__xludf.DUMMYFUNCTION("IMPORTRANGE(""https://docs.google.com/spreadsheets/d/1XL5vhW3sbDhbH9Cz0tuDiY8C3ctxq1tqvaCgkFb8cCA/edit?usp=sharing"",""ชัยภูมิ!I510"")"),0)</f>
        <v>0</v>
      </c>
      <c r="J615" s="198">
        <f ca="1">IFERROR(__xludf.DUMMYFUNCTION("IMPORTRANGE(""https://docs.google.com/spreadsheets/d/1XL5vhW3sbDhbH9Cz0tuDiY8C3ctxq1tqvaCgkFb8cCA/edit?usp=sharing"",""ชัยภูมิ!J510"")"),0)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IFERROR(__xludf.DUMMYFUNCTION("IMPORTRANGE(""https://docs.google.com/spreadsheets/d/1XL5vhW3sbDhbH9Cz0tuDiY8C3ctxq1tqvaCgkFb8cCA/edit?usp=sharing"",""ชัยภูมิ!I511"")"),0)</f>
        <v>0</v>
      </c>
      <c r="J616" s="198">
        <f ca="1">IFERROR(__xludf.DUMMYFUNCTION("IMPORTRANGE(""https://docs.google.com/spreadsheets/d/1XL5vhW3sbDhbH9Cz0tuDiY8C3ctxq1tqvaCgkFb8cCA/edit?usp=sharing"",""ชัยภูมิ!J511"")"),0)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IFERROR(__xludf.DUMMYFUNCTION("IMPORTRANGE(""https://docs.google.com/spreadsheets/d/1XL5vhW3sbDhbH9Cz0tuDiY8C3ctxq1tqvaCgkFb8cCA/edit?usp=sharing"",""ชัยภูมิ!I512"")"),0)</f>
        <v>0</v>
      </c>
      <c r="J617" s="188">
        <f ca="1">IFERROR(__xludf.DUMMYFUNCTION("IMPORTRANGE(""https://docs.google.com/spreadsheets/d/1XL5vhW3sbDhbH9Cz0tuDiY8C3ctxq1tqvaCgkFb8cCA/edit?usp=sharing"",""ชัยภูมิ!J512"")"),0)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IFERROR(__xludf.DUMMYFUNCTION("IMPORTRANGE(""https://docs.google.com/spreadsheets/d/1XL5vhW3sbDhbH9Cz0tuDiY8C3ctxq1tqvaCgkFb8cCA/edit?usp=sharing"",""ชัยภูมิ!I513"")"),0)</f>
        <v>0</v>
      </c>
      <c r="J618" s="189">
        <f ca="1">IFERROR(__xludf.DUMMYFUNCTION("IMPORTRANGE(""https://docs.google.com/spreadsheets/d/1XL5vhW3sbDhbH9Cz0tuDiY8C3ctxq1tqvaCgkFb8cCA/edit?usp=sharing"",""ชัยภูมิ!J513"")"),0)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IFERROR(__xludf.DUMMYFUNCTION("IMPORTRANGE(""https://docs.google.com/spreadsheets/d/1XL5vhW3sbDhbH9Cz0tuDiY8C3ctxq1tqvaCgkFb8cCA/edit?usp=sharing"",""ชัยภูมิ!I514"")"),0)</f>
        <v>0</v>
      </c>
      <c r="J619" s="189">
        <f ca="1">IFERROR(__xludf.DUMMYFUNCTION("IMPORTRANGE(""https://docs.google.com/spreadsheets/d/1XL5vhW3sbDhbH9Cz0tuDiY8C3ctxq1tqvaCgkFb8cCA/edit?usp=sharing"",""ชัยภูมิ!J514"")"),0)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IFERROR(__xludf.DUMMYFUNCTION("IMPORTRANGE(""https://docs.google.com/spreadsheets/d/1XL5vhW3sbDhbH9Cz0tuDiY8C3ctxq1tqvaCgkFb8cCA/edit?usp=sharing"",""ชัยภูมิ!I515"")"),0)</f>
        <v>0</v>
      </c>
      <c r="J620" s="203">
        <f ca="1">IFERROR(__xludf.DUMMYFUNCTION("IMPORTRANGE(""https://docs.google.com/spreadsheets/d/1XL5vhW3sbDhbH9Cz0tuDiY8C3ctxq1tqvaCgkFb8cCA/edit?usp=sharing"",""ชัยภูมิ!J515"")"),0)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IFERROR(__xludf.DUMMYFUNCTION("IMPORTRANGE(""https://docs.google.com/spreadsheets/d/1XL5vhW3sbDhbH9Cz0tuDiY8C3ctxq1tqvaCgkFb8cCA/edit?usp=sharing"",""ชัยภูมิ!I516"")"),0)</f>
        <v>0</v>
      </c>
      <c r="J621" s="203">
        <f ca="1">IFERROR(__xludf.DUMMYFUNCTION("IMPORTRANGE(""https://docs.google.com/spreadsheets/d/1XL5vhW3sbDhbH9Cz0tuDiY8C3ctxq1tqvaCgkFb8cCA/edit?usp=sharing"",""ชัยภูมิ!J516"")"),0)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IFERROR(__xludf.DUMMYFUNCTION("IMPORTRANGE(""https://docs.google.com/spreadsheets/d/1XL5vhW3sbDhbH9Cz0tuDiY8C3ctxq1tqvaCgkFb8cCA/edit?usp=sharing"",""ชัยภูมิ!I517"")"),0)</f>
        <v>0</v>
      </c>
      <c r="J622" s="189">
        <f ca="1">IFERROR(__xludf.DUMMYFUNCTION("IMPORTRANGE(""https://docs.google.com/spreadsheets/d/1XL5vhW3sbDhbH9Cz0tuDiY8C3ctxq1tqvaCgkFb8cCA/edit?usp=sharing"",""ชัยภูมิ!J517"")"),0)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IFERROR(__xludf.DUMMYFUNCTION("IMPORTRANGE(""https://docs.google.com/spreadsheets/d/1XL5vhW3sbDhbH9Cz0tuDiY8C3ctxq1tqvaCgkFb8cCA/edit?usp=sharing"",""ชัยภูมิ!I518"")"),0)</f>
        <v>0</v>
      </c>
      <c r="J623" s="189">
        <f ca="1">IFERROR(__xludf.DUMMYFUNCTION("IMPORTRANGE(""https://docs.google.com/spreadsheets/d/1XL5vhW3sbDhbH9Cz0tuDiY8C3ctxq1tqvaCgkFb8cCA/edit?usp=sharing"",""ชัยภูมิ!J518"")"),0)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IFERROR(__xludf.DUMMYFUNCTION("IMPORTRANGE(""https://docs.google.com/spreadsheets/d/1XL5vhW3sbDhbH9Cz0tuDiY8C3ctxq1tqvaCgkFb8cCA/edit?usp=sharing"",""ชัยภูมิ!I519"")"),0)</f>
        <v>0</v>
      </c>
      <c r="J624" s="188">
        <f ca="1">IFERROR(__xludf.DUMMYFUNCTION("IMPORTRANGE(""https://docs.google.com/spreadsheets/d/1XL5vhW3sbDhbH9Cz0tuDiY8C3ctxq1tqvaCgkFb8cCA/edit?usp=sharing"",""ชัยภูมิ!J519"")"),0)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IFERROR(__xludf.DUMMYFUNCTION("IMPORTRANGE(""https://docs.google.com/spreadsheets/d/1XL5vhW3sbDhbH9Cz0tuDiY8C3ctxq1tqvaCgkFb8cCA/edit?usp=sharing"",""ชัยภูมิ!I520"")"),0)</f>
        <v>0</v>
      </c>
      <c r="J625" s="189">
        <f ca="1">IFERROR(__xludf.DUMMYFUNCTION("IMPORTRANGE(""https://docs.google.com/spreadsheets/d/1XL5vhW3sbDhbH9Cz0tuDiY8C3ctxq1tqvaCgkFb8cCA/edit?usp=sharing"",""ชัยภูมิ!J520"")"),0)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IFERROR(__xludf.DUMMYFUNCTION("IMPORTRANGE(""https://docs.google.com/spreadsheets/d/1XL5vhW3sbDhbH9Cz0tuDiY8C3ctxq1tqvaCgkFb8cCA/edit?usp=sharing"",""ชัยภูมิ!I521"")"),0)</f>
        <v>0</v>
      </c>
      <c r="J626" s="189">
        <f ca="1">IFERROR(__xludf.DUMMYFUNCTION("IMPORTRANGE(""https://docs.google.com/spreadsheets/d/1XL5vhW3sbDhbH9Cz0tuDiY8C3ctxq1tqvaCgkFb8cCA/edit?usp=sharing"",""ชัยภูมิ!J521"")"),0)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IFERROR(__xludf.DUMMYFUNCTION("IMPORTRANGE(""https://docs.google.com/spreadsheets/d/1XL5vhW3sbDhbH9Cz0tuDiY8C3ctxq1tqvaCgkFb8cCA/edit?usp=sharing"",""ชัยภูมิ!I523"")"),4000000)</f>
        <v>4000000</v>
      </c>
      <c r="J628" s="341">
        <f ca="1">IFERROR(__xludf.DUMMYFUNCTION("IMPORTRANGE(""https://docs.google.com/spreadsheets/d/1XL5vhW3sbDhbH9Cz0tuDiY8C3ctxq1tqvaCgkFb8cCA/edit?usp=sharing"",""ชัยภูมิ!J523"")"),2300000)</f>
        <v>2300000</v>
      </c>
      <c r="K628" s="342">
        <f t="shared" ref="K628:K635" ca="1" si="129">IF(I628&gt;0,J628*100/I628,0)</f>
        <v>57.5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IFERROR(__xludf.DUMMYFUNCTION("IMPORTRANGE(""https://docs.google.com/spreadsheets/d/1XL5vhW3sbDhbH9Cz0tuDiY8C3ctxq1tqvaCgkFb8cCA/edit?usp=sharing"",""ชัยภูมิ!I524"")"),129)</f>
        <v>129</v>
      </c>
      <c r="J629" s="341">
        <f ca="1">IFERROR(__xludf.DUMMYFUNCTION("IMPORTRANGE(""https://docs.google.com/spreadsheets/d/1XL5vhW3sbDhbH9Cz0tuDiY8C3ctxq1tqvaCgkFb8cCA/edit?usp=sharing"",""ชัยภูมิ!J524"")"),75)</f>
        <v>75</v>
      </c>
      <c r="K629" s="342">
        <f t="shared" ca="1" si="129"/>
        <v>58.139534883720927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IFERROR(__xludf.DUMMYFUNCTION("IMPORTRANGE(""https://docs.google.com/spreadsheets/d/1XL5vhW3sbDhbH9Cz0tuDiY8C3ctxq1tqvaCgkFb8cCA/edit?usp=sharing"",""ชัยภูมิ!I525"")"),8228236.47)</f>
        <v>8228236.4699999997</v>
      </c>
      <c r="J630" s="341">
        <f ca="1">IFERROR(__xludf.DUMMYFUNCTION("IMPORTRANGE(""https://docs.google.com/spreadsheets/d/1XL5vhW3sbDhbH9Cz0tuDiY8C3ctxq1tqvaCgkFb8cCA/edit?usp=sharing"",""ชัยภูมิ!J525"")"),351633.37)</f>
        <v>351633.37</v>
      </c>
      <c r="K630" s="342">
        <f t="shared" ca="1" si="129"/>
        <v>4.2734961650901608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IFERROR(__xludf.DUMMYFUNCTION("IMPORTRANGE(""https://docs.google.com/spreadsheets/d/1XL5vhW3sbDhbH9Cz0tuDiY8C3ctxq1tqvaCgkFb8cCA/edit?usp=sharing"",""ชัยภูมิ!I526"")"),358)</f>
        <v>358</v>
      </c>
      <c r="J631" s="341">
        <f ca="1">IFERROR(__xludf.DUMMYFUNCTION("IMPORTRANGE(""https://docs.google.com/spreadsheets/d/1XL5vhW3sbDhbH9Cz0tuDiY8C3ctxq1tqvaCgkFb8cCA/edit?usp=sharing"",""ชัยภูมิ!J526"")"),52)</f>
        <v>52</v>
      </c>
      <c r="K631" s="342">
        <f t="shared" ca="1" si="129"/>
        <v>14.525139664804469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IFERROR(__xludf.DUMMYFUNCTION("IMPORTRANGE(""https://docs.google.com/spreadsheets/d/1XL5vhW3sbDhbH9Cz0tuDiY8C3ctxq1tqvaCgkFb8cCA/edit?usp=sharing"",""ชัยภูมิ!I527"")"),893351.91)</f>
        <v>893351.91</v>
      </c>
      <c r="J632" s="341">
        <f ca="1">IFERROR(__xludf.DUMMYFUNCTION("IMPORTRANGE(""https://docs.google.com/spreadsheets/d/1XL5vhW3sbDhbH9Cz0tuDiY8C3ctxq1tqvaCgkFb8cCA/edit?usp=sharing"",""ชัยภูมิ!J527"")"),569451.85)</f>
        <v>569451.85</v>
      </c>
      <c r="K632" s="342">
        <f t="shared" ca="1" si="129"/>
        <v>63.743284547295588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IFERROR(__xludf.DUMMYFUNCTION("IMPORTRANGE(""https://docs.google.com/spreadsheets/d/1XL5vhW3sbDhbH9Cz0tuDiY8C3ctxq1tqvaCgkFb8cCA/edit?usp=sharing"",""ชัยภูมิ!I528"")"),9)</f>
        <v>9</v>
      </c>
      <c r="J633" s="341">
        <f ca="1">IFERROR(__xludf.DUMMYFUNCTION("IMPORTRANGE(""https://docs.google.com/spreadsheets/d/1XL5vhW3sbDhbH9Cz0tuDiY8C3ctxq1tqvaCgkFb8cCA/edit?usp=sharing"",""ชัยภูมิ!J528"")"),14)</f>
        <v>14</v>
      </c>
      <c r="K633" s="342">
        <f t="shared" ca="1" si="129"/>
        <v>155.55555555555554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IFERROR(__xludf.DUMMYFUNCTION("IMPORTRANGE(""https://docs.google.com/spreadsheets/d/1XL5vhW3sbDhbH9Cz0tuDiY8C3ctxq1tqvaCgkFb8cCA/edit?usp=sharing"",""ชัยภูมิ!I529"")"),3000000)</f>
        <v>3000000</v>
      </c>
      <c r="J634" s="341">
        <f ca="1">IFERROR(__xludf.DUMMYFUNCTION("IMPORTRANGE(""https://docs.google.com/spreadsheets/d/1XL5vhW3sbDhbH9Cz0tuDiY8C3ctxq1tqvaCgkFb8cCA/edit?usp=sharing"",""ชัยภูมิ!J529"")"),1410000)</f>
        <v>1410000</v>
      </c>
      <c r="K634" s="342">
        <f t="shared" ca="1" si="129"/>
        <v>47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IFERROR(__xludf.DUMMYFUNCTION("IMPORTRANGE(""https://docs.google.com/spreadsheets/d/1XL5vhW3sbDhbH9Cz0tuDiY8C3ctxq1tqvaCgkFb8cCA/edit?usp=sharing"",""ชัยภูมิ!I530"")"),100)</f>
        <v>100</v>
      </c>
      <c r="J635" s="504">
        <f ca="1">IFERROR(__xludf.DUMMYFUNCTION("IMPORTRANGE(""https://docs.google.com/spreadsheets/d/1XL5vhW3sbDhbH9Cz0tuDiY8C3ctxq1tqvaCgkFb8cCA/edit?usp=sharing"",""ชัยภูมิ!J530"")"),45)</f>
        <v>45</v>
      </c>
      <c r="K635" s="486">
        <f t="shared" ca="1" si="129"/>
        <v>45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12" sqref="J12"/>
      <selection pane="bottomLeft" activeCell="J560" sqref="J560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56" t="s">
        <v>0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</row>
    <row r="2" spans="1:16" ht="18" customHeight="1" x14ac:dyDescent="0.35">
      <c r="A2" s="556" t="s">
        <v>244</v>
      </c>
      <c r="B2" s="556"/>
      <c r="C2" s="556"/>
      <c r="D2" s="556"/>
      <c r="E2" s="556"/>
      <c r="F2" s="556"/>
      <c r="G2" s="556"/>
      <c r="H2" s="556"/>
      <c r="I2" s="556"/>
      <c r="J2" s="556"/>
      <c r="K2" s="556"/>
      <c r="L2" s="556"/>
      <c r="M2" s="556"/>
      <c r="N2" s="556"/>
      <c r="O2" s="556"/>
      <c r="P2" s="556"/>
    </row>
    <row r="3" spans="1:16" ht="18" customHeight="1" x14ac:dyDescent="0.35">
      <c r="A3" s="556" t="s">
        <v>278</v>
      </c>
      <c r="B3" s="556"/>
      <c r="C3" s="556"/>
      <c r="D3" s="556"/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6"/>
      <c r="P3" s="55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64" t="s">
        <v>2</v>
      </c>
      <c r="B5" s="565"/>
      <c r="C5" s="565"/>
      <c r="D5" s="565"/>
      <c r="E5" s="565"/>
      <c r="F5" s="565"/>
      <c r="G5" s="566"/>
      <c r="H5" s="557" t="s">
        <v>3</v>
      </c>
      <c r="I5" s="559" t="s">
        <v>4</v>
      </c>
      <c r="J5" s="560"/>
      <c r="K5" s="561"/>
      <c r="L5" s="562" t="s">
        <v>5</v>
      </c>
      <c r="M5" s="561"/>
      <c r="N5" s="563" t="s">
        <v>6</v>
      </c>
      <c r="O5" s="560"/>
      <c r="P5" s="561"/>
    </row>
    <row r="6" spans="1:16" ht="21.75" customHeight="1" x14ac:dyDescent="0.35">
      <c r="A6" s="567"/>
      <c r="B6" s="568"/>
      <c r="C6" s="568"/>
      <c r="D6" s="568"/>
      <c r="E6" s="568"/>
      <c r="F6" s="568"/>
      <c r="G6" s="569"/>
      <c r="H6" s="55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0" t="s">
        <v>15</v>
      </c>
      <c r="B7" s="560"/>
      <c r="C7" s="560"/>
      <c r="D7" s="560"/>
      <c r="E7" s="560"/>
      <c r="F7" s="560"/>
      <c r="G7" s="56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1" t="s">
        <v>17</v>
      </c>
      <c r="E8" s="555"/>
      <c r="F8" s="555"/>
      <c r="G8" s="555"/>
      <c r="H8" s="20" t="s">
        <v>12</v>
      </c>
      <c r="I8" s="21"/>
      <c r="J8" s="21"/>
      <c r="K8" s="22"/>
      <c r="L8" s="23">
        <f t="shared" ref="L8:N8" ca="1" si="0">L9+L10</f>
        <v>5985654</v>
      </c>
      <c r="M8" s="23">
        <f t="shared" ca="1" si="0"/>
        <v>3286810</v>
      </c>
      <c r="N8" s="23">
        <f t="shared" ca="1" si="0"/>
        <v>2738867.9000000004</v>
      </c>
      <c r="O8" s="22">
        <f t="shared" ref="O8:O16" ca="1" si="1">IF(L8&gt;0,N8*100/L8,0)</f>
        <v>45.757203807637403</v>
      </c>
      <c r="P8" s="22">
        <f t="shared" ref="P8:P16" ca="1" si="2">IF(M8&gt;0,N8*100/M8,0)</f>
        <v>83.329060700192599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5985654</v>
      </c>
      <c r="M10" s="30">
        <f t="shared" ca="1" si="4"/>
        <v>3286810</v>
      </c>
      <c r="N10" s="30">
        <f t="shared" ca="1" si="4"/>
        <v>2738867.9000000004</v>
      </c>
      <c r="O10" s="29">
        <f t="shared" ca="1" si="1"/>
        <v>45.757203807637403</v>
      </c>
      <c r="P10" s="29">
        <f t="shared" ca="1" si="2"/>
        <v>83.329060700192599</v>
      </c>
    </row>
    <row r="11" spans="1:16" ht="21.75" customHeight="1" x14ac:dyDescent="0.45">
      <c r="A11" s="31"/>
      <c r="B11" s="32"/>
      <c r="C11" s="33" t="s">
        <v>16</v>
      </c>
      <c r="D11" s="572" t="s">
        <v>20</v>
      </c>
      <c r="E11" s="553"/>
      <c r="F11" s="55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4983954</v>
      </c>
      <c r="M12" s="38">
        <f t="shared" ca="1" si="6"/>
        <v>2285110</v>
      </c>
      <c r="N12" s="38">
        <f t="shared" ca="1" si="6"/>
        <v>1747567.9000000004</v>
      </c>
      <c r="O12" s="38">
        <f t="shared" ca="1" si="1"/>
        <v>35.063885019805568</v>
      </c>
      <c r="P12" s="38">
        <f t="shared" ca="1" si="2"/>
        <v>76.476314050527122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1752900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3231054</v>
      </c>
      <c r="M14" s="38">
        <f t="shared" si="8"/>
        <v>0</v>
      </c>
      <c r="N14" s="38">
        <f t="shared" ca="1" si="8"/>
        <v>500111.46000000008</v>
      </c>
      <c r="O14" s="38">
        <f t="shared" ca="1" si="1"/>
        <v>15.478276129089767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2" t="s">
        <v>23</v>
      </c>
      <c r="E15" s="55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1001700</v>
      </c>
      <c r="M16" s="38">
        <f t="shared" ca="1" si="10"/>
        <v>1001700</v>
      </c>
      <c r="N16" s="38">
        <f t="shared" ca="1" si="10"/>
        <v>991300</v>
      </c>
      <c r="O16" s="49">
        <f t="shared" ca="1" si="1"/>
        <v>98.961764999500843</v>
      </c>
      <c r="P16" s="49">
        <f t="shared" ca="1" si="2"/>
        <v>98.961764999500843</v>
      </c>
    </row>
    <row r="17" spans="1:16" ht="21.75" customHeight="1" x14ac:dyDescent="0.45">
      <c r="A17" s="570" t="s">
        <v>24</v>
      </c>
      <c r="B17" s="560"/>
      <c r="C17" s="560"/>
      <c r="D17" s="560"/>
      <c r="E17" s="560"/>
      <c r="F17" s="560"/>
      <c r="G17" s="56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1" t="s">
        <v>17</v>
      </c>
      <c r="E18" s="555"/>
      <c r="F18" s="555"/>
      <c r="G18" s="555"/>
      <c r="H18" s="20" t="s">
        <v>12</v>
      </c>
      <c r="I18" s="21"/>
      <c r="J18" s="21"/>
      <c r="K18" s="22"/>
      <c r="L18" s="23">
        <f t="shared" ref="L18:N18" ca="1" si="11">L19+L20</f>
        <v>3949295</v>
      </c>
      <c r="M18" s="23">
        <f t="shared" ca="1" si="11"/>
        <v>3286810</v>
      </c>
      <c r="N18" s="23">
        <f t="shared" ca="1" si="11"/>
        <v>2238756.4400000004</v>
      </c>
      <c r="O18" s="22">
        <f t="shared" ref="O18:O20" ca="1" si="12">IF(L18&gt;0,N18*100/L18,0)</f>
        <v>56.687495869515956</v>
      </c>
      <c r="P18" s="22">
        <f t="shared" ref="P18:P26" ca="1" si="13">IF(M18&gt;0,N18*100/M18,0)</f>
        <v>68.113351243302787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3949295</v>
      </c>
      <c r="M20" s="30">
        <f t="shared" ca="1" si="15"/>
        <v>3286810</v>
      </c>
      <c r="N20" s="30">
        <f t="shared" ca="1" si="15"/>
        <v>2238756.4400000004</v>
      </c>
      <c r="O20" s="29">
        <f t="shared" ca="1" si="12"/>
        <v>56.687495869515956</v>
      </c>
      <c r="P20" s="29">
        <f t="shared" ca="1" si="13"/>
        <v>68.113351243302787</v>
      </c>
    </row>
    <row r="21" spans="1:16" ht="21.75" customHeight="1" x14ac:dyDescent="0.45">
      <c r="A21" s="31"/>
      <c r="B21" s="32"/>
      <c r="C21" s="33" t="s">
        <v>16</v>
      </c>
      <c r="D21" s="572" t="s">
        <v>20</v>
      </c>
      <c r="E21" s="553"/>
      <c r="F21" s="55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2947595</v>
      </c>
      <c r="M22" s="41">
        <f t="shared" ca="1" si="18"/>
        <v>2285110</v>
      </c>
      <c r="N22" s="38">
        <f t="shared" ca="1" si="18"/>
        <v>1247456.4400000002</v>
      </c>
      <c r="O22" s="38">
        <f t="shared" ca="1" si="17"/>
        <v>42.321161489281948</v>
      </c>
      <c r="P22" s="38">
        <f t="shared" ca="1" si="13"/>
        <v>54.590651653530905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1752900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1194695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2" t="s">
        <v>23</v>
      </c>
      <c r="E25" s="55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1001700</v>
      </c>
      <c r="M26" s="49">
        <f t="shared" ca="1" si="22"/>
        <v>1001700</v>
      </c>
      <c r="N26" s="49">
        <f t="shared" ca="1" si="22"/>
        <v>991300</v>
      </c>
      <c r="O26" s="49">
        <f t="shared" ca="1" si="17"/>
        <v>98.961764999500843</v>
      </c>
      <c r="P26" s="49">
        <f t="shared" ca="1" si="13"/>
        <v>98.961764999500843</v>
      </c>
    </row>
    <row r="27" spans="1:16" ht="21.75" customHeight="1" x14ac:dyDescent="0.45">
      <c r="A27" s="570" t="s">
        <v>25</v>
      </c>
      <c r="B27" s="560"/>
      <c r="C27" s="560"/>
      <c r="D27" s="560"/>
      <c r="E27" s="560"/>
      <c r="F27" s="560"/>
      <c r="G27" s="56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1" t="s">
        <v>17</v>
      </c>
      <c r="E28" s="555"/>
      <c r="F28" s="555"/>
      <c r="G28" s="555"/>
      <c r="H28" s="20" t="s">
        <v>12</v>
      </c>
      <c r="I28" s="21"/>
      <c r="J28" s="21"/>
      <c r="K28" s="22"/>
      <c r="L28" s="23">
        <f t="shared" ref="L28:N28" ca="1" si="23">L29+L30</f>
        <v>2036359</v>
      </c>
      <c r="M28" s="23">
        <f t="shared" si="23"/>
        <v>0</v>
      </c>
      <c r="N28" s="23">
        <f t="shared" ca="1" si="23"/>
        <v>500111.46000000008</v>
      </c>
      <c r="O28" s="22">
        <f t="shared" ref="O28:O30" ca="1" si="24">IF(L28&gt;0,N28*100/L28,0)</f>
        <v>24.559100826524208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2036359</v>
      </c>
      <c r="M30" s="30">
        <f t="shared" si="27"/>
        <v>0</v>
      </c>
      <c r="N30" s="30">
        <f t="shared" ca="1" si="27"/>
        <v>500111.46000000008</v>
      </c>
      <c r="O30" s="29">
        <f t="shared" ca="1" si="24"/>
        <v>24.559100826524208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2" t="s">
        <v>20</v>
      </c>
      <c r="E31" s="553"/>
      <c r="F31" s="55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2036359</v>
      </c>
      <c r="M32" s="38">
        <f t="shared" si="30"/>
        <v>0</v>
      </c>
      <c r="N32" s="38">
        <f t="shared" ca="1" si="30"/>
        <v>500111.46000000008</v>
      </c>
      <c r="O32" s="38">
        <f t="shared" ca="1" si="29"/>
        <v>24.559100826524208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2036359</v>
      </c>
      <c r="M34" s="38">
        <f t="shared" si="32"/>
        <v>0</v>
      </c>
      <c r="N34" s="38">
        <f t="shared" ca="1" si="32"/>
        <v>500111.46000000008</v>
      </c>
      <c r="O34" s="38">
        <f t="shared" ca="1" si="29"/>
        <v>24.559100826524208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2" t="s">
        <v>23</v>
      </c>
      <c r="E35" s="55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3949295</v>
      </c>
      <c r="M37" s="54">
        <f t="shared" ca="1" si="33"/>
        <v>3286810</v>
      </c>
      <c r="N37" s="54">
        <f t="shared" ca="1" si="33"/>
        <v>2238756.44</v>
      </c>
      <c r="O37" s="55">
        <f t="shared" ca="1" si="29"/>
        <v>56.687495869515949</v>
      </c>
      <c r="P37" s="55">
        <f t="shared" ca="1" si="25"/>
        <v>68.113351243302773</v>
      </c>
    </row>
    <row r="38" spans="1:16" ht="21.75" customHeight="1" x14ac:dyDescent="0.45">
      <c r="A38" s="573" t="s">
        <v>27</v>
      </c>
      <c r="B38" s="560"/>
      <c r="C38" s="560"/>
      <c r="D38" s="560"/>
      <c r="E38" s="560"/>
      <c r="F38" s="560"/>
      <c r="G38" s="56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74" t="s">
        <v>28</v>
      </c>
      <c r="C39" s="555"/>
      <c r="D39" s="555"/>
      <c r="E39" s="555"/>
      <c r="F39" s="555"/>
      <c r="G39" s="55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75" t="s">
        <v>17</v>
      </c>
      <c r="E41" s="553"/>
      <c r="F41" s="553"/>
      <c r="G41" s="553"/>
      <c r="H41" s="75" t="s">
        <v>12</v>
      </c>
      <c r="I41" s="76"/>
      <c r="J41" s="76"/>
      <c r="K41" s="77"/>
      <c r="L41" s="78">
        <f t="shared" ref="L41:N41" ca="1" si="34">L42+L43</f>
        <v>1441100</v>
      </c>
      <c r="M41" s="78">
        <f t="shared" ca="1" si="34"/>
        <v>1286300</v>
      </c>
      <c r="N41" s="78">
        <f t="shared" ca="1" si="34"/>
        <v>1085182.7</v>
      </c>
      <c r="O41" s="77">
        <f t="shared" ref="O41:O43" ca="1" si="35">IF(L41&gt;0,N41*100/L41,0)</f>
        <v>75.302387065436122</v>
      </c>
      <c r="P41" s="77">
        <f t="shared" ref="P41:P43" ca="1" si="36">IF(M41&gt;0,N41*100/M41,0)</f>
        <v>84.364666096556007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1441100</v>
      </c>
      <c r="M43" s="78">
        <f t="shared" ca="1" si="38"/>
        <v>1286300</v>
      </c>
      <c r="N43" s="78">
        <f t="shared" ca="1" si="38"/>
        <v>1085182.7</v>
      </c>
      <c r="O43" s="77">
        <f t="shared" ca="1" si="35"/>
        <v>75.302387065436122</v>
      </c>
      <c r="P43" s="77">
        <f t="shared" ca="1" si="36"/>
        <v>84.364666096556007</v>
      </c>
    </row>
    <row r="44" spans="1:16" ht="21.75" customHeight="1" x14ac:dyDescent="0.45">
      <c r="A44" s="79"/>
      <c r="B44" s="80"/>
      <c r="C44" s="81" t="s">
        <v>16</v>
      </c>
      <c r="D44" s="552" t="s">
        <v>20</v>
      </c>
      <c r="E44" s="553"/>
      <c r="F44" s="55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631100</v>
      </c>
      <c r="M45" s="49">
        <f ca="1">IFERROR(__xludf.DUMMYFUNCTION("IMPORTRANGE(""https://docs.google.com/spreadsheets/d/1Yj_ptqi66GCucihVvJfMjLAmec39IyEx_6qawtMGysU/edit?usp=sharing"",""สบก!Q41"")"),476300)</f>
        <v>476300</v>
      </c>
      <c r="N45" s="49">
        <f ca="1">IFERROR(__xludf.DUMMYFUNCTION("IMPORTRANGE(""https://docs.google.com/spreadsheets/d/1Yj_ptqi66GCucihVvJfMjLAmec39IyEx_6qawtMGysU/edit?usp=sharing"",""สบก!R41"")"),285182.7)</f>
        <v>285182.7</v>
      </c>
      <c r="O45" s="38">
        <f ca="1">IF(L45&gt;0,N45*100/L45,0)</f>
        <v>45.188195214704486</v>
      </c>
      <c r="P45" s="38">
        <f ca="1">IF(M45&gt;0,N45*100/M45,0)</f>
        <v>59.874595842956118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IFERROR(__xludf.DUMMYFUNCTION("IMPORTRANGE(""https://docs.google.com/spreadsheets/d/1Yj_ptqi66GCucihVvJfMjLAmec39IyEx_6qawtMGysU/edit?usp=sharing"",""สบก!M41"")"),631100)</f>
        <v>631100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IFERROR(__xludf.DUMMYFUNCTION("IMPORTRANGE(""https://docs.google.com/spreadsheets/d/1Yj_ptqi66GCucihVvJfMjLAmec39IyEx_6qawtMGysU/edit?usp=sharing"",""สบก!N41"")"),0)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52" t="s">
        <v>23</v>
      </c>
      <c r="E48" s="55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IFERROR(__xludf.DUMMYFUNCTION("IMPORTRANGE(""https://docs.google.com/spreadsheets/d/1Yj_ptqi66GCucihVvJfMjLAmec39IyEx_6qawtMGysU/edit?usp=sharing"",""สบก!O41"")"),810000)</f>
        <v>810000</v>
      </c>
      <c r="M49" s="49">
        <f ca="1">L49</f>
        <v>810000</v>
      </c>
      <c r="N49" s="49">
        <f ca="1">IFERROR(__xludf.DUMMYFUNCTION("IMPORTRANGE(""https://docs.google.com/spreadsheets/d/1Yj_ptqi66GCucihVvJfMjLAmec39IyEx_6qawtMGysU/edit?usp=sharing"",""สบก!S41"")"),800000)</f>
        <v>800000</v>
      </c>
      <c r="O49" s="49">
        <f ca="1">IF(L49&gt;0,N49*100/L49,0)</f>
        <v>98.76543209876543</v>
      </c>
      <c r="P49" s="49">
        <f ca="1">IF(M49&gt;0,N49*100/M49,0)</f>
        <v>98.76543209876543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76" t="s">
        <v>32</v>
      </c>
      <c r="C52" s="553"/>
      <c r="D52" s="553"/>
      <c r="E52" s="553"/>
      <c r="F52" s="553"/>
      <c r="G52" s="55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77" t="s">
        <v>17</v>
      </c>
      <c r="E53" s="553"/>
      <c r="F53" s="553"/>
      <c r="G53" s="553"/>
      <c r="H53" s="118" t="s">
        <v>12</v>
      </c>
      <c r="I53" s="119"/>
      <c r="J53" s="119"/>
      <c r="K53" s="120"/>
      <c r="L53" s="121">
        <f t="shared" ref="L53:N53" ca="1" si="39">L54+L55</f>
        <v>412800</v>
      </c>
      <c r="M53" s="121">
        <f t="shared" ca="1" si="39"/>
        <v>324040</v>
      </c>
      <c r="N53" s="121">
        <f t="shared" ca="1" si="39"/>
        <v>230638</v>
      </c>
      <c r="O53" s="120">
        <f t="shared" ref="O53:O55" ca="1" si="40">IF(L53&gt;0,N53*100/L53,0)</f>
        <v>55.871608527131784</v>
      </c>
      <c r="P53" s="120">
        <f t="shared" ref="P53:P55" ca="1" si="41">IF(M53&gt;0,N53*100/M53,0)</f>
        <v>71.175780767806444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412800</v>
      </c>
      <c r="M55" s="121">
        <f t="shared" ca="1" si="43"/>
        <v>324040</v>
      </c>
      <c r="N55" s="121">
        <f t="shared" ca="1" si="43"/>
        <v>230638</v>
      </c>
      <c r="O55" s="120">
        <f t="shared" ca="1" si="40"/>
        <v>55.871608527131784</v>
      </c>
      <c r="P55" s="120">
        <f t="shared" ca="1" si="41"/>
        <v>71.175780767806444</v>
      </c>
    </row>
    <row r="56" spans="1:16" ht="21.75" customHeight="1" x14ac:dyDescent="0.45">
      <c r="A56" s="79"/>
      <c r="B56" s="80"/>
      <c r="C56" s="81" t="s">
        <v>16</v>
      </c>
      <c r="D56" s="552" t="s">
        <v>20</v>
      </c>
      <c r="E56" s="553"/>
      <c r="F56" s="55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412800</v>
      </c>
      <c r="M57" s="49">
        <f ca="1">IFERROR(__xludf.DUMMYFUNCTION("IMPORTRANGE(""https://docs.google.com/spreadsheets/d/1Yj_ptqi66GCucihVvJfMjLAmec39IyEx_6qawtMGysU/edit?usp=sharing"",""สบก!Z41"")"),324040)</f>
        <v>324040</v>
      </c>
      <c r="N57" s="49">
        <f ca="1">IFERROR(__xludf.DUMMYFUNCTION("IMPORTRANGE(""https://docs.google.com/spreadsheets/d/1Yj_ptqi66GCucihVvJfMjLAmec39IyEx_6qawtMGysU/edit?usp=sharing"",""สบก!AA41"")"),230638)</f>
        <v>230638</v>
      </c>
      <c r="O57" s="38">
        <f ca="1">IF(L57&gt;0,N57*100/L57,0)</f>
        <v>55.871608527131784</v>
      </c>
      <c r="P57" s="38">
        <f ca="1">IF(M57&gt;0,N57*100/M57,0)</f>
        <v>71.175780767806444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IFERROR(__xludf.DUMMYFUNCTION("IMPORTRANGE(""https://docs.google.com/spreadsheets/d/1Yj_ptqi66GCucihVvJfMjLAmec39IyEx_6qawtMGysU/edit?usp=sharing"",""สบก!V41"")"),412800)</f>
        <v>412800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IFERROR(__xludf.DUMMYFUNCTION("IMPORTRANGE(""https://docs.google.com/spreadsheets/d/1Yj_ptqi66GCucihVvJfMjLAmec39IyEx_6qawtMGysU/edit?usp=sharing"",""สบก!W41"")"),0)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52" t="s">
        <v>23</v>
      </c>
      <c r="E60" s="55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IFERROR(__xludf.DUMMYFUNCTION("IMPORTRANGE(""https://docs.google.com/spreadsheets/d/1Yj_ptqi66GCucihVvJfMjLAmec39IyEx_6qawtMGysU/edit?usp=sharing"",""สบก!X41"")"),0)</f>
        <v>0</v>
      </c>
      <c r="M61" s="49"/>
      <c r="N61" s="49">
        <f ca="1">IFERROR(__xludf.DUMMYFUNCTION("IMPORTRANGE(""https://docs.google.com/spreadsheets/d/1Yj_ptqi66GCucihVvJfMjLAmec39IyEx_6qawtMGysU/edit?usp=sharing"",""สบก!AB41"")"),0)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IFERROR(__xludf.DUMMYFUNCTION("IMPORTRANGE(""https://docs.google.com/spreadsheets/d/1XL5vhW3sbDhbH9Cz0tuDiY8C3ctxq1tqvaCgkFb8cCA/edit?usp=sharing"",""นครพนม!I9"")"),1)</f>
        <v>1</v>
      </c>
      <c r="J64" s="142">
        <f ca="1">IFERROR(__xludf.DUMMYFUNCTION("IMPORTRANGE(""https://docs.google.com/spreadsheets/d/1XL5vhW3sbDhbH9Cz0tuDiY8C3ctxq1tqvaCgkFb8cCA/edit?usp=sharing"",""นครพนม!J9"")"),1)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IFERROR(__xludf.DUMMYFUNCTION("IMPORTRANGE(""https://docs.google.com/spreadsheets/d/1XL5vhW3sbDhbH9Cz0tuDiY8C3ctxq1tqvaCgkFb8cCA/edit?usp=sharing"",""นครพนม!I10"")"),50)</f>
        <v>50</v>
      </c>
      <c r="J65" s="142">
        <f ca="1">IFERROR(__xludf.DUMMYFUNCTION("IMPORTRANGE(""https://docs.google.com/spreadsheets/d/1XL5vhW3sbDhbH9Cz0tuDiY8C3ctxq1tqvaCgkFb8cCA/edit?usp=sharing"",""นครพนม!J10"")"),50)</f>
        <v>50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54" t="s">
        <v>17</v>
      </c>
      <c r="E66" s="555"/>
      <c r="F66" s="555"/>
      <c r="G66" s="555"/>
      <c r="H66" s="149" t="s">
        <v>12</v>
      </c>
      <c r="I66" s="150"/>
      <c r="J66" s="150"/>
      <c r="K66" s="151"/>
      <c r="L66" s="152">
        <f t="shared" ref="L66:N66" ca="1" si="45">L67+L68</f>
        <v>674200</v>
      </c>
      <c r="M66" s="152">
        <f t="shared" ca="1" si="45"/>
        <v>554720</v>
      </c>
      <c r="N66" s="152">
        <f t="shared" ca="1" si="45"/>
        <v>225842.31</v>
      </c>
      <c r="O66" s="151">
        <f t="shared" ref="O66:O68" ca="1" si="46">IF(L66&gt;0,N66*100/L66,0)</f>
        <v>33.497821121328982</v>
      </c>
      <c r="P66" s="151">
        <f t="shared" ref="P66:P68" ca="1" si="47">IF(M66&gt;0,N66*100/M66,0)</f>
        <v>40.712847923276605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674200</v>
      </c>
      <c r="M68" s="157">
        <f t="shared" ca="1" si="49"/>
        <v>554720</v>
      </c>
      <c r="N68" s="157">
        <f t="shared" ca="1" si="49"/>
        <v>225842.31</v>
      </c>
      <c r="O68" s="156">
        <f t="shared" ca="1" si="46"/>
        <v>33.497821121328982</v>
      </c>
      <c r="P68" s="156">
        <f t="shared" ca="1" si="47"/>
        <v>40.712847923276605</v>
      </c>
    </row>
    <row r="69" spans="1:16" ht="21.75" customHeight="1" x14ac:dyDescent="0.45">
      <c r="A69" s="158"/>
      <c r="B69" s="159"/>
      <c r="C69" s="159" t="s">
        <v>16</v>
      </c>
      <c r="D69" s="552" t="s">
        <v>20</v>
      </c>
      <c r="E69" s="553"/>
      <c r="F69" s="55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674200</v>
      </c>
      <c r="M70" s="168">
        <f ca="1">IFERROR(__xludf.DUMMYFUNCTION("IMPORTRANGE(""https://docs.google.com/spreadsheets/d/1Yj_ptqi66GCucihVvJfMjLAmec39IyEx_6qawtMGysU/edit?usp=sharing"",""สบก!AI41"")"),554720)</f>
        <v>554720</v>
      </c>
      <c r="N70" s="169">
        <f ca="1">IFERROR(__xludf.DUMMYFUNCTION("IMPORTRANGE(""https://docs.google.com/spreadsheets/d/1Yj_ptqi66GCucihVvJfMjLAmec39IyEx_6qawtMGysU/edit?usp=sharing"",""สบก!AJ41"")"),225842.31)</f>
        <v>225842.31</v>
      </c>
      <c r="O70" s="169">
        <f ca="1">IF(L70&gt;0,N70*100/L70,0)</f>
        <v>33.497821121328982</v>
      </c>
      <c r="P70" s="169">
        <f ca="1">IF(M70&gt;0,N70*100/M70,0)</f>
        <v>40.712847923276605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IFERROR(__xludf.DUMMYFUNCTION("IMPORTRANGE(""https://docs.google.com/spreadsheets/d/1Yj_ptqi66GCucihVvJfMjLAmec39IyEx_6qawtMGysU/edit?usp=sharing"",""สบก!AE41"")"),188200)</f>
        <v>188200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IFERROR(__xludf.DUMMYFUNCTION("IMPORTRANGE(""https://docs.google.com/spreadsheets/d/1Yj_ptqi66GCucihVvJfMjLAmec39IyEx_6qawtMGysU/edit?usp=sharing"",""สบก!AF41"")"),486000)</f>
        <v>486000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52" t="s">
        <v>23</v>
      </c>
      <c r="E73" s="55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IFERROR(__xludf.DUMMYFUNCTION("IMPORTRANGE(""https://docs.google.com/spreadsheets/d/1Yj_ptqi66GCucihVvJfMjLAmec39IyEx_6qawtMGysU/edit?usp=sharing"",""สบก!AG41"")"),0)</f>
        <v>0</v>
      </c>
      <c r="M74" s="49"/>
      <c r="N74" s="49">
        <f ca="1">IFERROR(__xludf.DUMMYFUNCTION("IMPORTRANGE(""https://docs.google.com/spreadsheets/d/1Yj_ptqi66GCucihVvJfMjLAmec39IyEx_6qawtMGysU/edit?usp=sharing"",""สบก!AK41"")"),0)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IFERROR(__xludf.DUMMYFUNCTION("IMPORTRANGE(""https://docs.google.com/spreadsheets/d/1XL5vhW3sbDhbH9Cz0tuDiY8C3ctxq1tqvaCgkFb8cCA/edit?usp=sharing"",""นครพนม!J16"")"),0)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IFERROR(__xludf.DUMMYFUNCTION("IMPORTRANGE(""https://docs.google.com/spreadsheets/d/1XL5vhW3sbDhbH9Cz0tuDiY8C3ctxq1tqvaCgkFb8cCA/edit?usp=sharing"",""นครพนม!J17"")"),1)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IFERROR(__xludf.DUMMYFUNCTION("IMPORTRANGE(""https://docs.google.com/spreadsheets/d/1XL5vhW3sbDhbH9Cz0tuDiY8C3ctxq1tqvaCgkFb8cCA/edit?usp=sharing"",""นครพนม!J18"")"),1)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IFERROR(__xludf.DUMMYFUNCTION("IMPORTRANGE(""https://docs.google.com/spreadsheets/d/1XL5vhW3sbDhbH9Cz0tuDiY8C3ctxq1tqvaCgkFb8cCA/edit?usp=sharing"",""นครพนม!J19"")"),1)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IFERROR(__xludf.DUMMYFUNCTION("IMPORTRANGE(""https://docs.google.com/spreadsheets/d/1XL5vhW3sbDhbH9Cz0tuDiY8C3ctxq1tqvaCgkFb8cCA/edit?usp=sharing"",""นครพนม!I20"")"),1)</f>
        <v>1</v>
      </c>
      <c r="J80" s="201">
        <f ca="1">IFERROR(__xludf.DUMMYFUNCTION("IMPORTRANGE(""https://docs.google.com/spreadsheets/d/1XL5vhW3sbDhbH9Cz0tuDiY8C3ctxq1tqvaCgkFb8cCA/edit?usp=sharing"",""นครพนม!J20"")"),1)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IFERROR(__xludf.DUMMYFUNCTION("IMPORTRANGE(""https://docs.google.com/spreadsheets/d/1XL5vhW3sbDhbH9Cz0tuDiY8C3ctxq1tqvaCgkFb8cCA/edit?usp=sharing"",""นครพนม!I21"")"),50)</f>
        <v>50</v>
      </c>
      <c r="J81" s="201">
        <f ca="1">IFERROR(__xludf.DUMMYFUNCTION("IMPORTRANGE(""https://docs.google.com/spreadsheets/d/1XL5vhW3sbDhbH9Cz0tuDiY8C3ctxq1tqvaCgkFb8cCA/edit?usp=sharing"",""นครพนม!J21"")"),50)</f>
        <v>50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IFERROR(__xludf.DUMMYFUNCTION("IMPORTRANGE(""https://docs.google.com/spreadsheets/d/1XL5vhW3sbDhbH9Cz0tuDiY8C3ctxq1tqvaCgkFb8cCA/edit?usp=sharing"",""นครพนม!I22"")"),0)</f>
        <v>0</v>
      </c>
      <c r="J82" s="204">
        <f ca="1">IFERROR(__xludf.DUMMYFUNCTION("IMPORTRANGE(""https://docs.google.com/spreadsheets/d/1XL5vhW3sbDhbH9Cz0tuDiY8C3ctxq1tqvaCgkFb8cCA/edit?usp=sharing"",""นครพนม!J22"")"),0)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IFERROR(__xludf.DUMMYFUNCTION("IMPORTRANGE(""https://docs.google.com/spreadsheets/d/1XL5vhW3sbDhbH9Cz0tuDiY8C3ctxq1tqvaCgkFb8cCA/edit?usp=sharing"",""นครพนม!I23"")"),0)</f>
        <v>0</v>
      </c>
      <c r="J83" s="204">
        <f ca="1">IFERROR(__xludf.DUMMYFUNCTION("IMPORTRANGE(""https://docs.google.com/spreadsheets/d/1XL5vhW3sbDhbH9Cz0tuDiY8C3ctxq1tqvaCgkFb8cCA/edit?usp=sharing"",""นครพนม!J23"")"),0)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IFERROR(__xludf.DUMMYFUNCTION("IMPORTRANGE(""https://docs.google.com/spreadsheets/d/1XL5vhW3sbDhbH9Cz0tuDiY8C3ctxq1tqvaCgkFb8cCA/edit?usp=sharing"",""นครพนม!I24"")"),1)</f>
        <v>1</v>
      </c>
      <c r="J84" s="189">
        <f ca="1">IFERROR(__xludf.DUMMYFUNCTION("IMPORTRANGE(""https://docs.google.com/spreadsheets/d/1XL5vhW3sbDhbH9Cz0tuDiY8C3ctxq1tqvaCgkFb8cCA/edit?usp=sharing"",""นครพนม!J24"")"),1)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IFERROR(__xludf.DUMMYFUNCTION("IMPORTRANGE(""https://docs.google.com/spreadsheets/d/1XL5vhW3sbDhbH9Cz0tuDiY8C3ctxq1tqvaCgkFb8cCA/edit?usp=sharing"",""นครพนม!I25"")"),50)</f>
        <v>50</v>
      </c>
      <c r="J85" s="189">
        <f ca="1">IFERROR(__xludf.DUMMYFUNCTION("IMPORTRANGE(""https://docs.google.com/spreadsheets/d/1XL5vhW3sbDhbH9Cz0tuDiY8C3ctxq1tqvaCgkFb8cCA/edit?usp=sharing"",""นครพนม!J25"")"),50)</f>
        <v>50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IFERROR(__xludf.DUMMYFUNCTION("IMPORTRANGE(""https://docs.google.com/spreadsheets/d/1XL5vhW3sbDhbH9Cz0tuDiY8C3ctxq1tqvaCgkFb8cCA/edit?usp=sharing"",""นครพนม!I26"")"),0)</f>
        <v>0</v>
      </c>
      <c r="J86" s="204">
        <f ca="1">IFERROR(__xludf.DUMMYFUNCTION("IMPORTRANGE(""https://docs.google.com/spreadsheets/d/1XL5vhW3sbDhbH9Cz0tuDiY8C3ctxq1tqvaCgkFb8cCA/edit?usp=sharing"",""นครพนม!J26"")"),0)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IFERROR(__xludf.DUMMYFUNCTION("IMPORTRANGE(""https://docs.google.com/spreadsheets/d/1XL5vhW3sbDhbH9Cz0tuDiY8C3ctxq1tqvaCgkFb8cCA/edit?usp=sharing"",""นครพนม!I27"")"),0)</f>
        <v>0</v>
      </c>
      <c r="J87" s="204">
        <f ca="1">IFERROR(__xludf.DUMMYFUNCTION("IMPORTRANGE(""https://docs.google.com/spreadsheets/d/1XL5vhW3sbDhbH9Cz0tuDiY8C3ctxq1tqvaCgkFb8cCA/edit?usp=sharing"",""นครพนม!J27"")"),0)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IFERROR(__xludf.DUMMYFUNCTION("IMPORTRANGE(""https://docs.google.com/spreadsheets/d/1XL5vhW3sbDhbH9Cz0tuDiY8C3ctxq1tqvaCgkFb8cCA/edit?usp=sharing"",""นครพนม!I28"")"),0)</f>
        <v>0</v>
      </c>
      <c r="J88" s="204">
        <f ca="1">IFERROR(__xludf.DUMMYFUNCTION("IMPORTRANGE(""https://docs.google.com/spreadsheets/d/1XL5vhW3sbDhbH9Cz0tuDiY8C3ctxq1tqvaCgkFb8cCA/edit?usp=sharing"",""นครพนม!J28"")"),0)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IFERROR(__xludf.DUMMYFUNCTION("IMPORTRANGE(""https://docs.google.com/spreadsheets/d/1XL5vhW3sbDhbH9Cz0tuDiY8C3ctxq1tqvaCgkFb8cCA/edit?usp=sharing"",""นครพนม!J29"")"),0)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IFERROR(__xludf.DUMMYFUNCTION("IMPORTRANGE(""https://docs.google.com/spreadsheets/d/1XL5vhW3sbDhbH9Cz0tuDiY8C3ctxq1tqvaCgkFb8cCA/edit?usp=sharing"",""นครพนม!J30"")"),0)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IFERROR(__xludf.DUMMYFUNCTION("IMPORTRANGE(""https://docs.google.com/spreadsheets/d/1XL5vhW3sbDhbH9Cz0tuDiY8C3ctxq1tqvaCgkFb8cCA/edit?usp=sharing"",""นครพนม!I32"")"),4)</f>
        <v>4</v>
      </c>
      <c r="J92" s="142">
        <f ca="1">IFERROR(__xludf.DUMMYFUNCTION("IMPORTRANGE(""https://docs.google.com/spreadsheets/d/1XL5vhW3sbDhbH9Cz0tuDiY8C3ctxq1tqvaCgkFb8cCA/edit?usp=sharing"",""นครพนม!J32"")"),4)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IFERROR(__xludf.DUMMYFUNCTION("IMPORTRANGE(""https://docs.google.com/spreadsheets/d/1XL5vhW3sbDhbH9Cz0tuDiY8C3ctxq1tqvaCgkFb8cCA/edit?usp=sharing"",""นครพนม!I33"")"),1)</f>
        <v>1</v>
      </c>
      <c r="J93" s="142">
        <f ca="1">IFERROR(__xludf.DUMMYFUNCTION("IMPORTRANGE(""https://docs.google.com/spreadsheets/d/1XL5vhW3sbDhbH9Cz0tuDiY8C3ctxq1tqvaCgkFb8cCA/edit?usp=sharing"",""นครพนม!J33"")"),1)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54" t="s">
        <v>17</v>
      </c>
      <c r="E94" s="555"/>
      <c r="F94" s="555"/>
      <c r="G94" s="555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99498.55</v>
      </c>
      <c r="O94" s="151">
        <f t="shared" ref="O94:O96" ca="1" si="53">IF(L94&gt;0,N94*100/L94,0)</f>
        <v>46.386270396270397</v>
      </c>
      <c r="P94" s="151">
        <f t="shared" ref="P94:P96" ca="1" si="54">IF(M94&gt;0,N94*100/M94,0)</f>
        <v>46.386270396270397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99498.55</v>
      </c>
      <c r="O96" s="156">
        <f t="shared" ca="1" si="53"/>
        <v>46.386270396270397</v>
      </c>
      <c r="P96" s="156">
        <f t="shared" ca="1" si="54"/>
        <v>46.386270396270397</v>
      </c>
    </row>
    <row r="97" spans="1:16" ht="21.75" customHeight="1" x14ac:dyDescent="0.45">
      <c r="A97" s="158"/>
      <c r="B97" s="159"/>
      <c r="C97" s="159" t="s">
        <v>16</v>
      </c>
      <c r="D97" s="552" t="s">
        <v>20</v>
      </c>
      <c r="E97" s="553"/>
      <c r="F97" s="55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IFERROR(__xludf.DUMMYFUNCTION("IMPORTRANGE(""https://docs.google.com/spreadsheets/d/1Yj_ptqi66GCucihVvJfMjLAmec39IyEx_6qawtMGysU/edit?usp=sharing"",""สบก!AR41"")"),122100)</f>
        <v>122100</v>
      </c>
      <c r="N98" s="169">
        <f ca="1">IFERROR(__xludf.DUMMYFUNCTION("IMPORTRANGE(""https://docs.google.com/spreadsheets/d/1Yj_ptqi66GCucihVvJfMjLAmec39IyEx_6qawtMGysU/edit?usp=sharing"",""สบก!AS41"")"),7498.55)</f>
        <v>7498.55</v>
      </c>
      <c r="O98" s="169">
        <f ca="1">IF(L98&gt;0,N98*100/L98,0)</f>
        <v>6.1413185913185915</v>
      </c>
      <c r="P98" s="169">
        <f ca="1">IF(M98&gt;0,N98*100/M98,0)</f>
        <v>6.1413185913185915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IFERROR(__xludf.DUMMYFUNCTION("IMPORTRANGE(""https://docs.google.com/spreadsheets/d/1Yj_ptqi66GCucihVvJfMjLAmec39IyEx_6qawtMGysU/edit?usp=sharing"",""สบก!AN41"")"),0)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IFERROR(__xludf.DUMMYFUNCTION("IMPORTRANGE(""https://docs.google.com/spreadsheets/d/1Yj_ptqi66GCucihVvJfMjLAmec39IyEx_6qawtMGysU/edit?usp=sharing"",""สบก!AO41"")"),122100)</f>
        <v>122100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52" t="s">
        <v>23</v>
      </c>
      <c r="E101" s="55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IFERROR(__xludf.DUMMYFUNCTION("IMPORTRANGE(""https://docs.google.com/spreadsheets/d/1Yj_ptqi66GCucihVvJfMjLAmec39IyEx_6qawtMGysU/edit?usp=sharing"",""สบก!AP41"")"),92400)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IFERROR(__xludf.DUMMYFUNCTION("IMPORTRANGE(""https://docs.google.com/spreadsheets/d/1Yj_ptqi66GCucihVvJfMjLAmec39IyEx_6qawtMGysU/edit?usp=sharing"",""สบก!AT41"")"),92000)</f>
        <v>92000</v>
      </c>
      <c r="O102" s="49">
        <f ca="1">IF(L102&gt;0,N102*100/L102,0)</f>
        <v>99.567099567099561</v>
      </c>
      <c r="P102" s="49">
        <f ca="1">IF(M102&gt;0,N102*100/M102,0)</f>
        <v>99.567099567099561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IFERROR(__xludf.DUMMYFUNCTION("IMPORTRANGE(""https://docs.google.com/spreadsheets/d/1XL5vhW3sbDhbH9Cz0tuDiY8C3ctxq1tqvaCgkFb8cCA/edit?usp=sharing"",""นครพนม!J39"")"),0)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IFERROR(__xludf.DUMMYFUNCTION("IMPORTRANGE(""https://docs.google.com/spreadsheets/d/1XL5vhW3sbDhbH9Cz0tuDiY8C3ctxq1tqvaCgkFb8cCA/edit?usp=sharing"",""นครพนม!J40"")"),1)</f>
        <v>1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IFERROR(__xludf.DUMMYFUNCTION("IMPORTRANGE(""https://docs.google.com/spreadsheets/d/1XL5vhW3sbDhbH9Cz0tuDiY8C3ctxq1tqvaCgkFb8cCA/edit?usp=sharing"",""นครพนม!J41"")"),1)</f>
        <v>1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IFERROR(__xludf.DUMMYFUNCTION("IMPORTRANGE(""https://docs.google.com/spreadsheets/d/1XL5vhW3sbDhbH9Cz0tuDiY8C3ctxq1tqvaCgkFb8cCA/edit?usp=sharing"",""นครพนม!J42"")"),1)</f>
        <v>1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IFERROR(__xludf.DUMMYFUNCTION("IMPORTRANGE(""https://docs.google.com/spreadsheets/d/1XL5vhW3sbDhbH9Cz0tuDiY8C3ctxq1tqvaCgkFb8cCA/edit?usp=sharing"",""นครพนม!I43"")"),1)</f>
        <v>1</v>
      </c>
      <c r="J108" s="204">
        <f ca="1">IFERROR(__xludf.DUMMYFUNCTION("IMPORTRANGE(""https://docs.google.com/spreadsheets/d/1XL5vhW3sbDhbH9Cz0tuDiY8C3ctxq1tqvaCgkFb8cCA/edit?usp=sharing"",""นครพนม!J43"")"),1)</f>
        <v>1</v>
      </c>
      <c r="K108" s="224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IFERROR(__xludf.DUMMYFUNCTION("IMPORTRANGE(""https://docs.google.com/spreadsheets/d/1XL5vhW3sbDhbH9Cz0tuDiY8C3ctxq1tqvaCgkFb8cCA/edit?usp=sharing"",""นครพนม!I44"")"),4)</f>
        <v>4</v>
      </c>
      <c r="J109" s="204">
        <f ca="1">IFERROR(__xludf.DUMMYFUNCTION("IMPORTRANGE(""https://docs.google.com/spreadsheets/d/1XL5vhW3sbDhbH9Cz0tuDiY8C3ctxq1tqvaCgkFb8cCA/edit?usp=sharing"",""นครพนม!J44"")"),4)</f>
        <v>4</v>
      </c>
      <c r="K109" s="224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IFERROR(__xludf.DUMMYFUNCTION("IMPORTRANGE(""https://docs.google.com/spreadsheets/d/1XL5vhW3sbDhbH9Cz0tuDiY8C3ctxq1tqvaCgkFb8cCA/edit?usp=sharing"",""นครพนม!I45"")"),4)</f>
        <v>4</v>
      </c>
      <c r="J110" s="204">
        <f ca="1">IFERROR(__xludf.DUMMYFUNCTION("IMPORTRANGE(""https://docs.google.com/spreadsheets/d/1XL5vhW3sbDhbH9Cz0tuDiY8C3ctxq1tqvaCgkFb8cCA/edit?usp=sharing"",""นครพนม!J45"")"),4)</f>
        <v>4</v>
      </c>
      <c r="K110" s="224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IFERROR(__xludf.DUMMYFUNCTION("IMPORTRANGE(""https://docs.google.com/spreadsheets/d/1XL5vhW3sbDhbH9Cz0tuDiY8C3ctxq1tqvaCgkFb8cCA/edit?usp=sharing"",""นครพนม!I46"")"),4)</f>
        <v>4</v>
      </c>
      <c r="J111" s="204">
        <f ca="1">IFERROR(__xludf.DUMMYFUNCTION("IMPORTRANGE(""https://docs.google.com/spreadsheets/d/1XL5vhW3sbDhbH9Cz0tuDiY8C3ctxq1tqvaCgkFb8cCA/edit?usp=sharing"",""นครพนม!J46"")"),4)</f>
        <v>4</v>
      </c>
      <c r="K111" s="224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IFERROR(__xludf.DUMMYFUNCTION("IMPORTRANGE(""https://docs.google.com/spreadsheets/d/1XL5vhW3sbDhbH9Cz0tuDiY8C3ctxq1tqvaCgkFb8cCA/edit?usp=sharing"",""นครพนม!I47"")"),4)</f>
        <v>4</v>
      </c>
      <c r="J112" s="204">
        <f ca="1">IFERROR(__xludf.DUMMYFUNCTION("IMPORTRANGE(""https://docs.google.com/spreadsheets/d/1XL5vhW3sbDhbH9Cz0tuDiY8C3ctxq1tqvaCgkFb8cCA/edit?usp=sharing"",""นครพนม!J47"")"),4)</f>
        <v>4</v>
      </c>
      <c r="K112" s="224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IFERROR(__xludf.DUMMYFUNCTION("IMPORTRANGE(""https://docs.google.com/spreadsheets/d/1XL5vhW3sbDhbH9Cz0tuDiY8C3ctxq1tqvaCgkFb8cCA/edit?usp=sharing"",""นครพนม!I48"")"),1)</f>
        <v>1</v>
      </c>
      <c r="J113" s="204">
        <f ca="1">IFERROR(__xludf.DUMMYFUNCTION("IMPORTRANGE(""https://docs.google.com/spreadsheets/d/1XL5vhW3sbDhbH9Cz0tuDiY8C3ctxq1tqvaCgkFb8cCA/edit?usp=sharing"",""นครพนม!J48"")"),1)</f>
        <v>1</v>
      </c>
      <c r="K113" s="224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IFERROR(__xludf.DUMMYFUNCTION("IMPORTRANGE(""https://docs.google.com/spreadsheets/d/1XL5vhW3sbDhbH9Cz0tuDiY8C3ctxq1tqvaCgkFb8cCA/edit?usp=sharing"",""นครพนม!J49"")"),0)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IFERROR(__xludf.DUMMYFUNCTION("IMPORTRANGE(""https://docs.google.com/spreadsheets/d/1XL5vhW3sbDhbH9Cz0tuDiY8C3ctxq1tqvaCgkFb8cCA/edit?usp=sharing"",""นครพนม!J50"")"),0)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IFERROR(__xludf.DUMMYFUNCTION("IMPORTRANGE(""https://docs.google.com/spreadsheets/d/1XL5vhW3sbDhbH9Cz0tuDiY8C3ctxq1tqvaCgkFb8cCA/edit?usp=sharing"",""นครพนม!I52"")"),0)</f>
        <v>0</v>
      </c>
      <c r="J117" s="142">
        <f ca="1">IFERROR(__xludf.DUMMYFUNCTION("IMPORTRANGE(""https://docs.google.com/spreadsheets/d/1XL5vhW3sbDhbH9Cz0tuDiY8C3ctxq1tqvaCgkFb8cCA/edit?usp=sharing"",""นครพนม!J52"")"),0)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54" t="s">
        <v>17</v>
      </c>
      <c r="E118" s="555"/>
      <c r="F118" s="555"/>
      <c r="G118" s="55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52" t="s">
        <v>20</v>
      </c>
      <c r="E121" s="553"/>
      <c r="F121" s="55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IFERROR(__xludf.DUMMYFUNCTION("IMPORTRANGE(""https://docs.google.com/spreadsheets/d/1Yj_ptqi66GCucihVvJfMjLAmec39IyEx_6qawtMGysU/edit?usp=sharing"",""สบก!BA41"")"),0)</f>
        <v>0</v>
      </c>
      <c r="N122" s="169">
        <f ca="1">IFERROR(__xludf.DUMMYFUNCTION("IMPORTRANGE(""https://docs.google.com/spreadsheets/d/1Yj_ptqi66GCucihVvJfMjLAmec39IyEx_6qawtMGysU/edit?usp=sharing"",""สบก!BB41"")"),0)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IFERROR(__xludf.DUMMYFUNCTION("IMPORTRANGE(""https://docs.google.com/spreadsheets/d/1Yj_ptqi66GCucihVvJfMjLAmec39IyEx_6qawtMGysU/edit?usp=sharing"",""สบก!AW41"")"),0)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IFERROR(__xludf.DUMMYFUNCTION("IMPORTRANGE(""https://docs.google.com/spreadsheets/d/1Yj_ptqi66GCucihVvJfMjLAmec39IyEx_6qawtMGysU/edit?usp=sharing"",""สบก!AX41"")"),0)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52" t="s">
        <v>23</v>
      </c>
      <c r="E125" s="55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IFERROR(__xludf.DUMMYFUNCTION("IMPORTRANGE(""https://docs.google.com/spreadsheets/d/1Yj_ptqi66GCucihVvJfMjLAmec39IyEx_6qawtMGysU/edit?usp=sharing"",""สบก!AY41"")"),0)</f>
        <v>0</v>
      </c>
      <c r="M126" s="49"/>
      <c r="N126" s="49">
        <f ca="1">IFERROR(__xludf.DUMMYFUNCTION("IMPORTRANGE(""https://docs.google.com/spreadsheets/d/1Yj_ptqi66GCucihVvJfMjLAmec39IyEx_6qawtMGysU/edit?usp=sharing"",""สบก!BC41"")"),0)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3" t="s">
        <v>245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IFERROR(__xludf.DUMMYFUNCTION("IMPORTRANGE(""https://docs.google.com/spreadsheets/d/1XL5vhW3sbDhbH9Cz0tuDiY8C3ctxq1tqvaCgkFb8cCA/edit?usp=sharing"",""นครพนม!J58"")"),0)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IFERROR(__xludf.DUMMYFUNCTION("IMPORTRANGE(""https://docs.google.com/spreadsheets/d/1XL5vhW3sbDhbH9Cz0tuDiY8C3ctxq1tqvaCgkFb8cCA/edit?usp=sharing"",""นครพนม!J59"")"),0)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IFERROR(__xludf.DUMMYFUNCTION("IMPORTRANGE(""https://docs.google.com/spreadsheets/d/1XL5vhW3sbDhbH9Cz0tuDiY8C3ctxq1tqvaCgkFb8cCA/edit?usp=sharing"",""นครพนม!J60"")"),0)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IFERROR(__xludf.DUMMYFUNCTION("IMPORTRANGE(""https://docs.google.com/spreadsheets/d/1XL5vhW3sbDhbH9Cz0tuDiY8C3ctxq1tqvaCgkFb8cCA/edit?usp=sharing"",""นครพนม!J61"")"),0)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IFERROR(__xludf.DUMMYFUNCTION("IMPORTRANGE(""https://docs.google.com/spreadsheets/d/1XL5vhW3sbDhbH9Cz0tuDiY8C3ctxq1tqvaCgkFb8cCA/edit?usp=sharing"",""นครพนม!I62"")"),0)</f>
        <v>0</v>
      </c>
      <c r="J132" s="204">
        <f ca="1">IFERROR(__xludf.DUMMYFUNCTION("IMPORTRANGE(""https://docs.google.com/spreadsheets/d/1XL5vhW3sbDhbH9Cz0tuDiY8C3ctxq1tqvaCgkFb8cCA/edit?usp=sharing"",""นครพนม!J62"")"),0)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IFERROR(__xludf.DUMMYFUNCTION("IMPORTRANGE(""https://docs.google.com/spreadsheets/d/1XL5vhW3sbDhbH9Cz0tuDiY8C3ctxq1tqvaCgkFb8cCA/edit?usp=sharing"",""นครพนม!I63"")"),0)</f>
        <v>0</v>
      </c>
      <c r="J133" s="204">
        <f ca="1">IFERROR(__xludf.DUMMYFUNCTION("IMPORTRANGE(""https://docs.google.com/spreadsheets/d/1XL5vhW3sbDhbH9Cz0tuDiY8C3ctxq1tqvaCgkFb8cCA/edit?usp=sharing"",""นครพนม!J63"")"),0)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IFERROR(__xludf.DUMMYFUNCTION("IMPORTRANGE(""https://docs.google.com/spreadsheets/d/1XL5vhW3sbDhbH9Cz0tuDiY8C3ctxq1tqvaCgkFb8cCA/edit?usp=sharing"",""นครพนม!J64"")"),0)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IFERROR(__xludf.DUMMYFUNCTION("IMPORTRANGE(""https://docs.google.com/spreadsheets/d/1XL5vhW3sbDhbH9Cz0tuDiY8C3ctxq1tqvaCgkFb8cCA/edit?usp=sharing"",""นครพนม!J65"")"),0)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IFERROR(__xludf.DUMMYFUNCTION("IMPORTRANGE(""https://docs.google.com/spreadsheets/d/1XL5vhW3sbDhbH9Cz0tuDiY8C3ctxq1tqvaCgkFb8cCA/edit?usp=sharing"",""นครพนม!I68"")"),0)</f>
        <v>0</v>
      </c>
      <c r="J138" s="267">
        <f ca="1">IFERROR(__xludf.DUMMYFUNCTION("IMPORTRANGE(""https://docs.google.com/spreadsheets/d/1XL5vhW3sbDhbH9Cz0tuDiY8C3ctxq1tqvaCgkFb8cCA/edit?usp=sharing"",""นครพนม!J68"")"),0)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54" t="s">
        <v>17</v>
      </c>
      <c r="E140" s="555"/>
      <c r="F140" s="555"/>
      <c r="G140" s="555"/>
      <c r="H140" s="149" t="s">
        <v>12</v>
      </c>
      <c r="I140" s="162"/>
      <c r="J140" s="162"/>
      <c r="K140" s="163"/>
      <c r="L140" s="152">
        <f t="shared" ref="L140:N140" ca="1" si="64">L141+L142</f>
        <v>72000</v>
      </c>
      <c r="M140" s="152">
        <f t="shared" ca="1" si="64"/>
        <v>70625</v>
      </c>
      <c r="N140" s="152">
        <f t="shared" ca="1" si="64"/>
        <v>51679.8</v>
      </c>
      <c r="O140" s="151">
        <f t="shared" ref="O140:O142" ca="1" si="65">IF(L140&gt;0,N140*100/L140,0)</f>
        <v>71.777500000000003</v>
      </c>
      <c r="P140" s="151">
        <f t="shared" ref="P140:P142" ca="1" si="66">IF(M140&gt;0,N140*100/M140,0)</f>
        <v>73.17493805309735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72000</v>
      </c>
      <c r="M142" s="157">
        <f t="shared" ca="1" si="68"/>
        <v>70625</v>
      </c>
      <c r="N142" s="157">
        <f t="shared" ca="1" si="68"/>
        <v>51679.8</v>
      </c>
      <c r="O142" s="156">
        <f t="shared" ca="1" si="65"/>
        <v>71.777500000000003</v>
      </c>
      <c r="P142" s="156">
        <f t="shared" ca="1" si="66"/>
        <v>73.17493805309735</v>
      </c>
    </row>
    <row r="143" spans="1:16" ht="21.75" customHeight="1" x14ac:dyDescent="0.45">
      <c r="A143" s="158"/>
      <c r="B143" s="159"/>
      <c r="C143" s="159" t="s">
        <v>16</v>
      </c>
      <c r="D143" s="552" t="s">
        <v>20</v>
      </c>
      <c r="E143" s="553"/>
      <c r="F143" s="55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72000</v>
      </c>
      <c r="M144" s="168">
        <f ca="1">IFERROR(__xludf.DUMMYFUNCTION("IMPORTRANGE(""https://docs.google.com/spreadsheets/d/1Yj_ptqi66GCucihVvJfMjLAmec39IyEx_6qawtMGysU/edit?usp=sharing"",""สบก!BJ41"")"),70625)</f>
        <v>70625</v>
      </c>
      <c r="N144" s="169">
        <f ca="1">IFERROR(__xludf.DUMMYFUNCTION("IMPORTRANGE(""https://docs.google.com/spreadsheets/d/1Yj_ptqi66GCucihVvJfMjLAmec39IyEx_6qawtMGysU/edit?usp=sharing"",""สบก!BK41"")"),51679.8)</f>
        <v>51679.8</v>
      </c>
      <c r="O144" s="169">
        <f ca="1">IF(L144&gt;0,N144*100/L144,0)</f>
        <v>71.777500000000003</v>
      </c>
      <c r="P144" s="169">
        <f ca="1">IF(M144&gt;0,N144*100/M144,0)</f>
        <v>73.17493805309735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IFERROR(__xludf.DUMMYFUNCTION("IMPORTRANGE(""https://docs.google.com/spreadsheets/d/1Yj_ptqi66GCucihVvJfMjLAmec39IyEx_6qawtMGysU/edit?usp=sharing"",""สบก!BF41"")"),0)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IFERROR(__xludf.DUMMYFUNCTION("IMPORTRANGE(""https://docs.google.com/spreadsheets/d/1Yj_ptqi66GCucihVvJfMjLAmec39IyEx_6qawtMGysU/edit?usp=sharing"",""สบก!BG41"")"),72000)</f>
        <v>72000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52" t="s">
        <v>23</v>
      </c>
      <c r="E147" s="55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IFERROR(__xludf.DUMMYFUNCTION("IMPORTRANGE(""https://docs.google.com/spreadsheets/d/1Yj_ptqi66GCucihVvJfMjLAmec39IyEx_6qawtMGysU/edit?usp=sharing"",""สบก!BH41"")"),0)</f>
        <v>0</v>
      </c>
      <c r="M148" s="49"/>
      <c r="N148" s="49">
        <f ca="1">IFERROR(__xludf.DUMMYFUNCTION("IMPORTRANGE(""https://docs.google.com/spreadsheets/d/1Yj_ptqi66GCucihVvJfMjLAmec39IyEx_6qawtMGysU/edit?usp=sharing"",""สบก!BL41"")"),0)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IFERROR(__xludf.DUMMYFUNCTION("IMPORTRANGE(""https://docs.google.com/spreadsheets/d/1XL5vhW3sbDhbH9Cz0tuDiY8C3ctxq1tqvaCgkFb8cCA/edit?usp=sharing"",""นครพนม!I74"")"),4)</f>
        <v>4</v>
      </c>
      <c r="J149" s="275">
        <f ca="1">IFERROR(__xludf.DUMMYFUNCTION("IMPORTRANGE(""https://docs.google.com/spreadsheets/d/1XL5vhW3sbDhbH9Cz0tuDiY8C3ctxq1tqvaCgkFb8cCA/edit?usp=sharing"",""นครพนม!J74"")"),2)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IFERROR(__xludf.DUMMYFUNCTION("IMPORTRANGE(""https://docs.google.com/spreadsheets/d/1XL5vhW3sbDhbH9Cz0tuDiY8C3ctxq1tqvaCgkFb8cCA/edit?usp=sharing"",""นครพนม!J79"")"),0)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IFERROR(__xludf.DUMMYFUNCTION("IMPORTRANGE(""https://docs.google.com/spreadsheets/d/1XL5vhW3sbDhbH9Cz0tuDiY8C3ctxq1tqvaCgkFb8cCA/edit?usp=sharing"",""นครพนม!J80"")"),1)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IFERROR(__xludf.DUMMYFUNCTION("IMPORTRANGE(""https://docs.google.com/spreadsheets/d/1XL5vhW3sbDhbH9Cz0tuDiY8C3ctxq1tqvaCgkFb8cCA/edit?usp=sharing"",""นครพนม!J81"")"),1)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IFERROR(__xludf.DUMMYFUNCTION("IMPORTRANGE(""https://docs.google.com/spreadsheets/d/1XL5vhW3sbDhbH9Cz0tuDiY8C3ctxq1tqvaCgkFb8cCA/edit?usp=sharing"",""นครพนม!J82"")"),1)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IFERROR(__xludf.DUMMYFUNCTION("IMPORTRANGE(""https://docs.google.com/spreadsheets/d/1XL5vhW3sbDhbH9Cz0tuDiY8C3ctxq1tqvaCgkFb8cCA/edit?usp=sharing"",""นครพนม!I83"")"),4)</f>
        <v>4</v>
      </c>
      <c r="J158" s="189">
        <f ca="1">IFERROR(__xludf.DUMMYFUNCTION("IMPORTRANGE(""https://docs.google.com/spreadsheets/d/1XL5vhW3sbDhbH9Cz0tuDiY8C3ctxq1tqvaCgkFb8cCA/edit?usp=sharing"",""นครพนม!J83"")"),2)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IFERROR(__xludf.DUMMYFUNCTION("IMPORTRANGE(""https://docs.google.com/spreadsheets/d/1XL5vhW3sbDhbH9Cz0tuDiY8C3ctxq1tqvaCgkFb8cCA/edit?usp=sharing"",""นครพนม!J84"")"),51)</f>
        <v>51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IFERROR(__xludf.DUMMYFUNCTION("IMPORTRANGE(""https://docs.google.com/spreadsheets/d/1XL5vhW3sbDhbH9Cz0tuDiY8C3ctxq1tqvaCgkFb8cCA/edit?usp=sharing"",""นครพนม!J85"")"),51)</f>
        <v>51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IFERROR(__xludf.DUMMYFUNCTION("IMPORTRANGE(""https://docs.google.com/spreadsheets/d/1XL5vhW3sbDhbH9Cz0tuDiY8C3ctxq1tqvaCgkFb8cCA/edit?usp=sharing"",""นครพนม!J86"")"),0)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IFERROR(__xludf.DUMMYFUNCTION("IMPORTRANGE(""https://docs.google.com/spreadsheets/d/1XL5vhW3sbDhbH9Cz0tuDiY8C3ctxq1tqvaCgkFb8cCA/edit?usp=sharing"",""นครพนม!J87"")"),0)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IFERROR(__xludf.DUMMYFUNCTION("IMPORTRANGE(""https://docs.google.com/spreadsheets/d/1XL5vhW3sbDhbH9Cz0tuDiY8C3ctxq1tqvaCgkFb8cCA/edit?usp=sharing"",""นครพนม!J88"")"),0)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IFERROR(__xludf.DUMMYFUNCTION("IMPORTRANGE(""https://docs.google.com/spreadsheets/d/1XL5vhW3sbDhbH9Cz0tuDiY8C3ctxq1tqvaCgkFb8cCA/edit?usp=sharing"",""นครพนม!I89"")"),3)</f>
        <v>3</v>
      </c>
      <c r="J164" s="284">
        <f ca="1">IFERROR(__xludf.DUMMYFUNCTION("IMPORTRANGE(""https://docs.google.com/spreadsheets/d/1XL5vhW3sbDhbH9Cz0tuDiY8C3ctxq1tqvaCgkFb8cCA/edit?usp=sharing"",""นครพนม!J89"")"),3)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IFERROR(__xludf.DUMMYFUNCTION("IMPORTRANGE(""https://docs.google.com/spreadsheets/d/1XL5vhW3sbDhbH9Cz0tuDiY8C3ctxq1tqvaCgkFb8cCA/edit?usp=sharing"",""นครพนม!J94"")"),0)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IFERROR(__xludf.DUMMYFUNCTION("IMPORTRANGE(""https://docs.google.com/spreadsheets/d/1XL5vhW3sbDhbH9Cz0tuDiY8C3ctxq1tqvaCgkFb8cCA/edit?usp=sharing"",""นครพนม!J95"")"),1)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IFERROR(__xludf.DUMMYFUNCTION("IMPORTRANGE(""https://docs.google.com/spreadsheets/d/1XL5vhW3sbDhbH9Cz0tuDiY8C3ctxq1tqvaCgkFb8cCA/edit?usp=sharing"",""นครพนม!J96"")"),1)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IFERROR(__xludf.DUMMYFUNCTION("IMPORTRANGE(""https://docs.google.com/spreadsheets/d/1XL5vhW3sbDhbH9Cz0tuDiY8C3ctxq1tqvaCgkFb8cCA/edit?usp=sharing"",""นครพนม!J97"")"),1)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IFERROR(__xludf.DUMMYFUNCTION("IMPORTRANGE(""https://docs.google.com/spreadsheets/d/1XL5vhW3sbDhbH9Cz0tuDiY8C3ctxq1tqvaCgkFb8cCA/edit?usp=sharing"",""นครพนม!I98"")"),3)</f>
        <v>3</v>
      </c>
      <c r="J173" s="189">
        <f ca="1">IFERROR(__xludf.DUMMYFUNCTION("IMPORTRANGE(""https://docs.google.com/spreadsheets/d/1XL5vhW3sbDhbH9Cz0tuDiY8C3ctxq1tqvaCgkFb8cCA/edit?usp=sharing"",""นครพนม!J98"")"),3)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IFERROR(__xludf.DUMMYFUNCTION("IMPORTRANGE(""https://docs.google.com/spreadsheets/d/1XL5vhW3sbDhbH9Cz0tuDiY8C3ctxq1tqvaCgkFb8cCA/edit?usp=sharing"",""นครพนม!J99"")"),0)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IFERROR(__xludf.DUMMYFUNCTION("IMPORTRANGE(""https://docs.google.com/spreadsheets/d/1XL5vhW3sbDhbH9Cz0tuDiY8C3ctxq1tqvaCgkFb8cCA/edit?usp=sharing"",""นครพนม!J100"")"),0)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IFERROR(__xludf.DUMMYFUNCTION("IMPORTRANGE(""https://docs.google.com/spreadsheets/d/1XL5vhW3sbDhbH9Cz0tuDiY8C3ctxq1tqvaCgkFb8cCA/edit?usp=sharing"",""นครพนม!I101"")"),1)</f>
        <v>1</v>
      </c>
      <c r="J176" s="284">
        <f ca="1">IFERROR(__xludf.DUMMYFUNCTION("IMPORTRANGE(""https://docs.google.com/spreadsheets/d/1XL5vhW3sbDhbH9Cz0tuDiY8C3ctxq1tqvaCgkFb8cCA/edit?usp=sharing"",""นครพนม!J101"")"),1)</f>
        <v>1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IFERROR(__xludf.DUMMYFUNCTION("IMPORTRANGE(""https://docs.google.com/spreadsheets/d/1XL5vhW3sbDhbH9Cz0tuDiY8C3ctxq1tqvaCgkFb8cCA/edit?usp=sharing"",""นครพนม!J106"")"),0)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IFERROR(__xludf.DUMMYFUNCTION("IMPORTRANGE(""https://docs.google.com/spreadsheets/d/1XL5vhW3sbDhbH9Cz0tuDiY8C3ctxq1tqvaCgkFb8cCA/edit?usp=sharing"",""นครพนม!J107"")"),1)</f>
        <v>1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IFERROR(__xludf.DUMMYFUNCTION("IMPORTRANGE(""https://docs.google.com/spreadsheets/d/1XL5vhW3sbDhbH9Cz0tuDiY8C3ctxq1tqvaCgkFb8cCA/edit?usp=sharing"",""นครพนม!J108"")"),1)</f>
        <v>1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IFERROR(__xludf.DUMMYFUNCTION("IMPORTRANGE(""https://docs.google.com/spreadsheets/d/1XL5vhW3sbDhbH9Cz0tuDiY8C3ctxq1tqvaCgkFb8cCA/edit?usp=sharing"",""นครพนม!J109"")"),1)</f>
        <v>1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IFERROR(__xludf.DUMMYFUNCTION("IMPORTRANGE(""https://docs.google.com/spreadsheets/d/1XL5vhW3sbDhbH9Cz0tuDiY8C3ctxq1tqvaCgkFb8cCA/edit?usp=sharing"",""นครพนม!I110"")"),1)</f>
        <v>1</v>
      </c>
      <c r="J185" s="204">
        <f ca="1">IFERROR(__xludf.DUMMYFUNCTION("IMPORTRANGE(""https://docs.google.com/spreadsheets/d/1XL5vhW3sbDhbH9Cz0tuDiY8C3ctxq1tqvaCgkFb8cCA/edit?usp=sharing"",""นครพนม!J110"")"),1)</f>
        <v>1</v>
      </c>
      <c r="K185" s="224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IFERROR(__xludf.DUMMYFUNCTION("IMPORTRANGE(""https://docs.google.com/spreadsheets/d/1XL5vhW3sbDhbH9Cz0tuDiY8C3ctxq1tqvaCgkFb8cCA/edit?usp=sharing"",""นครพนม!I111"")"),1)</f>
        <v>1</v>
      </c>
      <c r="J186" s="204">
        <f ca="1">IFERROR(__xludf.DUMMYFUNCTION("IMPORTRANGE(""https://docs.google.com/spreadsheets/d/1XL5vhW3sbDhbH9Cz0tuDiY8C3ctxq1tqvaCgkFb8cCA/edit?usp=sharing"",""นครพนม!J111"")"),1)</f>
        <v>1</v>
      </c>
      <c r="K186" s="224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IFERROR(__xludf.DUMMYFUNCTION("IMPORTRANGE(""https://docs.google.com/spreadsheets/d/1XL5vhW3sbDhbH9Cz0tuDiY8C3ctxq1tqvaCgkFb8cCA/edit?usp=sharing"",""นครพนม!J112"")"),0)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IFERROR(__xludf.DUMMYFUNCTION("IMPORTRANGE(""https://docs.google.com/spreadsheets/d/1XL5vhW3sbDhbH9Cz0tuDiY8C3ctxq1tqvaCgkFb8cCA/edit?usp=sharing"",""นครพนม!J113"")"),0)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IFERROR(__xludf.DUMMYFUNCTION("IMPORTRANGE(""https://docs.google.com/spreadsheets/d/1XL5vhW3sbDhbH9Cz0tuDiY8C3ctxq1tqvaCgkFb8cCA/edit?usp=sharing"",""นครพนม!I114"")"),10000)</f>
        <v>10000</v>
      </c>
      <c r="J189" s="284">
        <f ca="1">IFERROR(__xludf.DUMMYFUNCTION("IMPORTRANGE(""https://docs.google.com/spreadsheets/d/1XL5vhW3sbDhbH9Cz0tuDiY8C3ctxq1tqvaCgkFb8cCA/edit?usp=sharing"",""นครพนม!J114"")"),0)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IFERROR(__xludf.DUMMYFUNCTION("IMPORTRANGE(""https://docs.google.com/spreadsheets/d/1XL5vhW3sbDhbH9Cz0tuDiY8C3ctxq1tqvaCgkFb8cCA/edit?usp=sharing"",""นครพนม!J119"")"),0)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IFERROR(__xludf.DUMMYFUNCTION("IMPORTRANGE(""https://docs.google.com/spreadsheets/d/1XL5vhW3sbDhbH9Cz0tuDiY8C3ctxq1tqvaCgkFb8cCA/edit?usp=sharing"",""นครพนม!J120"")"),1)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IFERROR(__xludf.DUMMYFUNCTION("IMPORTRANGE(""https://docs.google.com/spreadsheets/d/1XL5vhW3sbDhbH9Cz0tuDiY8C3ctxq1tqvaCgkFb8cCA/edit?usp=sharing"",""นครพนม!J121"")"),1)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IFERROR(__xludf.DUMMYFUNCTION("IMPORTRANGE(""https://docs.google.com/spreadsheets/d/1XL5vhW3sbDhbH9Cz0tuDiY8C3ctxq1tqvaCgkFb8cCA/edit?usp=sharing"",""นครพนม!J122"")"),1)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IFERROR(__xludf.DUMMYFUNCTION("IMPORTRANGE(""https://docs.google.com/spreadsheets/d/1XL5vhW3sbDhbH9Cz0tuDiY8C3ctxq1tqvaCgkFb8cCA/edit?usp=sharing"",""นครพนม!I124"")"),10000)</f>
        <v>10000</v>
      </c>
      <c r="J199" s="189">
        <f ca="1">IFERROR(__xludf.DUMMYFUNCTION("IMPORTRANGE(""https://docs.google.com/spreadsheets/d/1XL5vhW3sbDhbH9Cz0tuDiY8C3ctxq1tqvaCgkFb8cCA/edit?usp=sharing"",""นครพนม!J124"")"),0)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IFERROR(__xludf.DUMMYFUNCTION("IMPORTRANGE(""https://docs.google.com/spreadsheets/d/1XL5vhW3sbDhbH9Cz0tuDiY8C3ctxq1tqvaCgkFb8cCA/edit?usp=sharing"",""นครพนม!I125"")"),10000)</f>
        <v>10000</v>
      </c>
      <c r="J200" s="189">
        <f ca="1">IFERROR(__xludf.DUMMYFUNCTION("IMPORTRANGE(""https://docs.google.com/spreadsheets/d/1XL5vhW3sbDhbH9Cz0tuDiY8C3ctxq1tqvaCgkFb8cCA/edit?usp=sharing"",""นครพนม!J125"")"),0)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IFERROR(__xludf.DUMMYFUNCTION("IMPORTRANGE(""https://docs.google.com/spreadsheets/d/1XL5vhW3sbDhbH9Cz0tuDiY8C3ctxq1tqvaCgkFb8cCA/edit?usp=sharing"",""นครพนม!I126"")"),0)</f>
        <v>0</v>
      </c>
      <c r="J201" s="189">
        <f ca="1">IFERROR(__xludf.DUMMYFUNCTION("IMPORTRANGE(""https://docs.google.com/spreadsheets/d/1XL5vhW3sbDhbH9Cz0tuDiY8C3ctxq1tqvaCgkFb8cCA/edit?usp=sharing"",""นครพนม!J126"")"),0)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IFERROR(__xludf.DUMMYFUNCTION("IMPORTRANGE(""https://docs.google.com/spreadsheets/d/1XL5vhW3sbDhbH9Cz0tuDiY8C3ctxq1tqvaCgkFb8cCA/edit?usp=sharing"",""นครพนม!J127"")"),0)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IFERROR(__xludf.DUMMYFUNCTION("IMPORTRANGE(""https://docs.google.com/spreadsheets/d/1XL5vhW3sbDhbH9Cz0tuDiY8C3ctxq1tqvaCgkFb8cCA/edit?usp=sharing"",""นครพนม!J128"")"),0)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IFERROR(__xludf.DUMMYFUNCTION("IMPORTRANGE(""https://docs.google.com/spreadsheets/d/1XL5vhW3sbDhbH9Cz0tuDiY8C3ctxq1tqvaCgkFb8cCA/edit?usp=sharing"",""นครพนม!I129"")"),0)</f>
        <v>0</v>
      </c>
      <c r="J204" s="284">
        <f ca="1">IFERROR(__xludf.DUMMYFUNCTION("IMPORTRANGE(""https://docs.google.com/spreadsheets/d/1XL5vhW3sbDhbH9Cz0tuDiY8C3ctxq1tqvaCgkFb8cCA/edit?usp=sharing"",""นครพนม!J129"")"),0)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IFERROR(__xludf.DUMMYFUNCTION("IMPORTRANGE(""https://docs.google.com/spreadsheets/d/1XL5vhW3sbDhbH9Cz0tuDiY8C3ctxq1tqvaCgkFb8cCA/edit?usp=sharing"",""นครพนม!J134"")"),0)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IFERROR(__xludf.DUMMYFUNCTION("IMPORTRANGE(""https://docs.google.com/spreadsheets/d/1XL5vhW3sbDhbH9Cz0tuDiY8C3ctxq1tqvaCgkFb8cCA/edit?usp=sharing"",""นครพนม!J135"")"),0)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IFERROR(__xludf.DUMMYFUNCTION("IMPORTRANGE(""https://docs.google.com/spreadsheets/d/1XL5vhW3sbDhbH9Cz0tuDiY8C3ctxq1tqvaCgkFb8cCA/edit?usp=sharing"",""นครพนม!J136"")"),0)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IFERROR(__xludf.DUMMYFUNCTION("IMPORTRANGE(""https://docs.google.com/spreadsheets/d/1XL5vhW3sbDhbH9Cz0tuDiY8C3ctxq1tqvaCgkFb8cCA/edit?usp=sharing"",""นครพนม!J137"")"),0)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IFERROR(__xludf.DUMMYFUNCTION("IMPORTRANGE(""https://docs.google.com/spreadsheets/d/1XL5vhW3sbDhbH9Cz0tuDiY8C3ctxq1tqvaCgkFb8cCA/edit?usp=sharing"",""นครพนม!I138"")"),0)</f>
        <v>0</v>
      </c>
      <c r="J213" s="204">
        <f ca="1">IFERROR(__xludf.DUMMYFUNCTION("IMPORTRANGE(""https://docs.google.com/spreadsheets/d/1XL5vhW3sbDhbH9Cz0tuDiY8C3ctxq1tqvaCgkFb8cCA/edit?usp=sharing"",""นครพนม!J138"")"),0)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IFERROR(__xludf.DUMMYFUNCTION("IMPORTRANGE(""https://docs.google.com/spreadsheets/d/1XL5vhW3sbDhbH9Cz0tuDiY8C3ctxq1tqvaCgkFb8cCA/edit?usp=sharing"",""นครพนม!I140"")"),0)</f>
        <v>0</v>
      </c>
      <c r="J215" s="204">
        <f ca="1">IFERROR(__xludf.DUMMYFUNCTION("IMPORTRANGE(""https://docs.google.com/spreadsheets/d/1XL5vhW3sbDhbH9Cz0tuDiY8C3ctxq1tqvaCgkFb8cCA/edit?usp=sharing"",""นครพนม!J140"")"),0)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IFERROR(__xludf.DUMMYFUNCTION("IMPORTRANGE(""https://docs.google.com/spreadsheets/d/1XL5vhW3sbDhbH9Cz0tuDiY8C3ctxq1tqvaCgkFb8cCA/edit?usp=sharing"",""นครพนม!I141"")"),0)</f>
        <v>0</v>
      </c>
      <c r="J216" s="204">
        <f ca="1">IFERROR(__xludf.DUMMYFUNCTION("IMPORTRANGE(""https://docs.google.com/spreadsheets/d/1XL5vhW3sbDhbH9Cz0tuDiY8C3ctxq1tqvaCgkFb8cCA/edit?usp=sharing"",""นครพนม!J141"")"),0)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IFERROR(__xludf.DUMMYFUNCTION("IMPORTRANGE(""https://docs.google.com/spreadsheets/d/1XL5vhW3sbDhbH9Cz0tuDiY8C3ctxq1tqvaCgkFb8cCA/edit?usp=sharing"",""นครพนม!J142"")"),0)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IFERROR(__xludf.DUMMYFUNCTION("IMPORTRANGE(""https://docs.google.com/spreadsheets/d/1XL5vhW3sbDhbH9Cz0tuDiY8C3ctxq1tqvaCgkFb8cCA/edit?usp=sharing"",""นครพนม!J143"")"),0)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IFERROR(__xludf.DUMMYFUNCTION("IMPORTRANGE(""https://docs.google.com/spreadsheets/d/1XL5vhW3sbDhbH9Cz0tuDiY8C3ctxq1tqvaCgkFb8cCA/edit?usp=sharing"",""นครพนม!I144"")"),15)</f>
        <v>15</v>
      </c>
      <c r="J219" s="267">
        <f ca="1">IFERROR(__xludf.DUMMYFUNCTION("IMPORTRANGE(""https://docs.google.com/spreadsheets/d/1XL5vhW3sbDhbH9Cz0tuDiY8C3ctxq1tqvaCgkFb8cCA/edit?usp=sharing"",""นครพนม!J144"")"),15)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54" t="s">
        <v>17</v>
      </c>
      <c r="E220" s="555"/>
      <c r="F220" s="555"/>
      <c r="G220" s="55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52" t="s">
        <v>20</v>
      </c>
      <c r="E223" s="553"/>
      <c r="F223" s="55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IFERROR(__xludf.DUMMYFUNCTION("IMPORTRANGE(""https://docs.google.com/spreadsheets/d/1Yj_ptqi66GCucihVvJfMjLAmec39IyEx_6qawtMGysU/edit?usp=sharing"",""สบก!BS41"")"),21125)</f>
        <v>21125</v>
      </c>
      <c r="N224" s="169">
        <f ca="1">IFERROR(__xludf.DUMMYFUNCTION("IMPORTRANGE(""https://docs.google.com/spreadsheets/d/1Yj_ptqi66GCucihVvJfMjLAmec39IyEx_6qawtMGysU/edit?usp=sharing"",""สบก!BT41"")"),21125)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IFERROR(__xludf.DUMMYFUNCTION("IMPORTRANGE(""https://docs.google.com/spreadsheets/d/1Yj_ptqi66GCucihVvJfMjLAmec39IyEx_6qawtMGysU/edit?usp=sharing"",""สบก!BO41"")"),0)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IFERROR(__xludf.DUMMYFUNCTION("IMPORTRANGE(""https://docs.google.com/spreadsheets/d/1Yj_ptqi66GCucihVvJfMjLAmec39IyEx_6qawtMGysU/edit?usp=sharing"",""สบก!BP41"")"),21125)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52" t="s">
        <v>23</v>
      </c>
      <c r="E227" s="55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IFERROR(__xludf.DUMMYFUNCTION("IMPORTRANGE(""https://docs.google.com/spreadsheets/d/1Yj_ptqi66GCucihVvJfMjLAmec39IyEx_6qawtMGysU/edit?usp=sharing"",""สบก!BQ41"")"),0)</f>
        <v>0</v>
      </c>
      <c r="M228" s="49"/>
      <c r="N228" s="49">
        <f ca="1">IFERROR(__xludf.DUMMYFUNCTION("IMPORTRANGE(""https://docs.google.com/spreadsheets/d/1Yj_ptqi66GCucihVvJfMjLAmec39IyEx_6qawtMGysU/edit?usp=sharing"",""สบก!BU41"")"),0)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IFERROR(__xludf.DUMMYFUNCTION("IMPORTRANGE(""https://docs.google.com/spreadsheets/d/1XL5vhW3sbDhbH9Cz0tuDiY8C3ctxq1tqvaCgkFb8cCA/edit?usp=sharing"",""นครพนม!I149"")"),15)</f>
        <v>15</v>
      </c>
      <c r="J229" s="267">
        <f ca="1">IFERROR(__xludf.DUMMYFUNCTION("IMPORTRANGE(""https://docs.google.com/spreadsheets/d/1XL5vhW3sbDhbH9Cz0tuDiY8C3ctxq1tqvaCgkFb8cCA/edit?usp=sharing"",""นครพนม!J149"")"),15)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IFERROR(__xludf.DUMMYFUNCTION("IMPORTRANGE(""https://docs.google.com/spreadsheets/d/1XL5vhW3sbDhbH9Cz0tuDiY8C3ctxq1tqvaCgkFb8cCA/edit?usp=sharing"",""นครพนม!J151"")"),0)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IFERROR(__xludf.DUMMYFUNCTION("IMPORTRANGE(""https://docs.google.com/spreadsheets/d/1XL5vhW3sbDhbH9Cz0tuDiY8C3ctxq1tqvaCgkFb8cCA/edit?usp=sharing"",""นครพนม!J152"")"),1)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IFERROR(__xludf.DUMMYFUNCTION("IMPORTRANGE(""https://docs.google.com/spreadsheets/d/1XL5vhW3sbDhbH9Cz0tuDiY8C3ctxq1tqvaCgkFb8cCA/edit?usp=sharing"",""นครพนม!J153"")"),1)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IFERROR(__xludf.DUMMYFUNCTION("IMPORTRANGE(""https://docs.google.com/spreadsheets/d/1XL5vhW3sbDhbH9Cz0tuDiY8C3ctxq1tqvaCgkFb8cCA/edit?usp=sharing"",""นครพนม!J154"")"),1)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IFERROR(__xludf.DUMMYFUNCTION("IMPORTRANGE(""https://docs.google.com/spreadsheets/d/1XL5vhW3sbDhbH9Cz0tuDiY8C3ctxq1tqvaCgkFb8cCA/edit?usp=sharing"",""นครพนม!I155"")"),15)</f>
        <v>15</v>
      </c>
      <c r="J235" s="189">
        <f ca="1">IFERROR(__xludf.DUMMYFUNCTION("IMPORTRANGE(""https://docs.google.com/spreadsheets/d/1XL5vhW3sbDhbH9Cz0tuDiY8C3ctxq1tqvaCgkFb8cCA/edit?usp=sharing"",""นครพนม!J155"")"),15)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IFERROR(__xludf.DUMMYFUNCTION("IMPORTRANGE(""https://docs.google.com/spreadsheets/d/1XL5vhW3sbDhbH9Cz0tuDiY8C3ctxq1tqvaCgkFb8cCA/edit?usp=sharing"",""นครพนม!J156"")"),0)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IFERROR(__xludf.DUMMYFUNCTION("IMPORTRANGE(""https://docs.google.com/spreadsheets/d/1XL5vhW3sbDhbH9Cz0tuDiY8C3ctxq1tqvaCgkFb8cCA/edit?usp=sharing"",""นครพนม!J157"")"),0)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IFERROR(__xludf.DUMMYFUNCTION("IMPORTRANGE(""https://docs.google.com/spreadsheets/d/1XL5vhW3sbDhbH9Cz0tuDiY8C3ctxq1tqvaCgkFb8cCA/edit?usp=sharing"",""นครพนม!I158"")"),0)</f>
        <v>0</v>
      </c>
      <c r="J238" s="267">
        <f ca="1">IFERROR(__xludf.DUMMYFUNCTION("IMPORTRANGE(""https://docs.google.com/spreadsheets/d/1XL5vhW3sbDhbH9Cz0tuDiY8C3ctxq1tqvaCgkFb8cCA/edit?usp=sharing"",""นครพนม!J158"")"),0)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IFERROR(__xludf.DUMMYFUNCTION("IMPORTRANGE(""https://docs.google.com/spreadsheets/d/1XL5vhW3sbDhbH9Cz0tuDiY8C3ctxq1tqvaCgkFb8cCA/edit?usp=sharing"",""นครพนม!J159"")"),"")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IFERROR(__xludf.DUMMYFUNCTION("IMPORTRANGE(""https://docs.google.com/spreadsheets/d/1XL5vhW3sbDhbH9Cz0tuDiY8C3ctxq1tqvaCgkFb8cCA/edit?usp=sharing"",""นครพนม!J161"")"),0)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IFERROR(__xludf.DUMMYFUNCTION("IMPORTRANGE(""https://docs.google.com/spreadsheets/d/1XL5vhW3sbDhbH9Cz0tuDiY8C3ctxq1tqvaCgkFb8cCA/edit?usp=sharing"",""นครพนม!J162"")"),0)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IFERROR(__xludf.DUMMYFUNCTION("IMPORTRANGE(""https://docs.google.com/spreadsheets/d/1XL5vhW3sbDhbH9Cz0tuDiY8C3ctxq1tqvaCgkFb8cCA/edit?usp=sharing"",""นครพนม!J163"")"),0)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IFERROR(__xludf.DUMMYFUNCTION("IMPORTRANGE(""https://docs.google.com/spreadsheets/d/1XL5vhW3sbDhbH9Cz0tuDiY8C3ctxq1tqvaCgkFb8cCA/edit?usp=sharing"",""นครพนม!I164"")"),0)</f>
        <v>0</v>
      </c>
      <c r="J244" s="188">
        <f ca="1">IFERROR(__xludf.DUMMYFUNCTION("IMPORTRANGE(""https://docs.google.com/spreadsheets/d/1XL5vhW3sbDhbH9Cz0tuDiY8C3ctxq1tqvaCgkFb8cCA/edit?usp=sharing"",""นครพนม!J164"")"),0)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IFERROR(__xludf.DUMMYFUNCTION("IMPORTRANGE(""https://docs.google.com/spreadsheets/d/1XL5vhW3sbDhbH9Cz0tuDiY8C3ctxq1tqvaCgkFb8cCA/edit?usp=sharing"",""นครพนม!J165"")"),0)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IFERROR(__xludf.DUMMYFUNCTION("IMPORTRANGE(""https://docs.google.com/spreadsheets/d/1XL5vhW3sbDhbH9Cz0tuDiY8C3ctxq1tqvaCgkFb8cCA/edit?usp=sharing"",""นครพนม!J166"")"),0)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IFERROR(__xludf.DUMMYFUNCTION("IMPORTRANGE(""https://docs.google.com/spreadsheets/d/1XL5vhW3sbDhbH9Cz0tuDiY8C3ctxq1tqvaCgkFb8cCA/edit?usp=sharing"",""นครพนม!I169"")"),25)</f>
        <v>25</v>
      </c>
      <c r="J249" s="316">
        <f ca="1">IFERROR(__xludf.DUMMYFUNCTION("IMPORTRANGE(""https://docs.google.com/spreadsheets/d/1XL5vhW3sbDhbH9Cz0tuDiY8C3ctxq1tqvaCgkFb8cCA/edit?usp=sharing"",""นครพนม!J169"")"),25)</f>
        <v>25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54" t="s">
        <v>17</v>
      </c>
      <c r="E250" s="555"/>
      <c r="F250" s="555"/>
      <c r="G250" s="555"/>
      <c r="H250" s="149" t="s">
        <v>12</v>
      </c>
      <c r="I250" s="162"/>
      <c r="J250" s="162"/>
      <c r="K250" s="163"/>
      <c r="L250" s="152">
        <f t="shared" ref="L250:N250" ca="1" si="77">L251+L252</f>
        <v>221000</v>
      </c>
      <c r="M250" s="152">
        <f t="shared" ca="1" si="77"/>
        <v>146500</v>
      </c>
      <c r="N250" s="152">
        <f t="shared" ca="1" si="77"/>
        <v>77830</v>
      </c>
      <c r="O250" s="151">
        <f t="shared" ref="O250:O252" ca="1" si="78">IF(L250&gt;0,N250*100/L250,0)</f>
        <v>35.217194570135746</v>
      </c>
      <c r="P250" s="151">
        <f t="shared" ref="P250:P252" ca="1" si="79">IF(M250&gt;0,N250*100/M250,0)</f>
        <v>53.12627986348123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221000</v>
      </c>
      <c r="M252" s="157">
        <f t="shared" ca="1" si="81"/>
        <v>146500</v>
      </c>
      <c r="N252" s="157">
        <f t="shared" ca="1" si="81"/>
        <v>77830</v>
      </c>
      <c r="O252" s="156">
        <f t="shared" ca="1" si="78"/>
        <v>35.217194570135746</v>
      </c>
      <c r="P252" s="156">
        <f t="shared" ca="1" si="79"/>
        <v>53.12627986348123</v>
      </c>
    </row>
    <row r="253" spans="1:16" ht="21.75" customHeight="1" x14ac:dyDescent="0.45">
      <c r="A253" s="158"/>
      <c r="B253" s="159"/>
      <c r="C253" s="159" t="s">
        <v>16</v>
      </c>
      <c r="D253" s="552" t="s">
        <v>20</v>
      </c>
      <c r="E253" s="553"/>
      <c r="F253" s="55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221000</v>
      </c>
      <c r="M254" s="168">
        <f ca="1">IFERROR(__xludf.DUMMYFUNCTION("IMPORTRANGE(""https://docs.google.com/spreadsheets/d/1Yj_ptqi66GCucihVvJfMjLAmec39IyEx_6qawtMGysU/edit?usp=sharing"",""สบก!CB41"")"),146500)</f>
        <v>146500</v>
      </c>
      <c r="N254" s="169">
        <f ca="1">IFERROR(__xludf.DUMMYFUNCTION("IMPORTRANGE(""https://docs.google.com/spreadsheets/d/1Yj_ptqi66GCucihVvJfMjLAmec39IyEx_6qawtMGysU/edit?usp=sharing"",""สบก!CC41"")"),77830)</f>
        <v>77830</v>
      </c>
      <c r="O254" s="169">
        <f ca="1">IF(L254&gt;0,N254*100/L254,0)</f>
        <v>35.217194570135746</v>
      </c>
      <c r="P254" s="169">
        <f ca="1">IF(M254&gt;0,N254*100/M254,0)</f>
        <v>53.12627986348123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IFERROR(__xludf.DUMMYFUNCTION("IMPORTRANGE(""https://docs.google.com/spreadsheets/d/1Yj_ptqi66GCucihVvJfMjLAmec39IyEx_6qawtMGysU/edit?usp=sharing"",""สบก!BX41"")"),132000)</f>
        <v>132000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IFERROR(__xludf.DUMMYFUNCTION("IMPORTRANGE(""https://docs.google.com/spreadsheets/d/1Yj_ptqi66GCucihVvJfMjLAmec39IyEx_6qawtMGysU/edit?usp=sharing"",""สบก!BY41"")"),89000)</f>
        <v>89000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52" t="s">
        <v>23</v>
      </c>
      <c r="E257" s="55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IFERROR(__xludf.DUMMYFUNCTION("IMPORTRANGE(""https://docs.google.com/spreadsheets/d/1Yj_ptqi66GCucihVvJfMjLAmec39IyEx_6qawtMGysU/edit?usp=sharing"",""สบก!BZ41"")"),0)</f>
        <v>0</v>
      </c>
      <c r="M258" s="49"/>
      <c r="N258" s="49">
        <f ca="1">IFERROR(__xludf.DUMMYFUNCTION("IMPORTRANGE(""https://docs.google.com/spreadsheets/d/1Yj_ptqi66GCucihVvJfMjLAmec39IyEx_6qawtMGysU/edit?usp=sharing"",""สบก!CD41"")"),0)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IFERROR(__xludf.DUMMYFUNCTION("IMPORTRANGE(""https://docs.google.com/spreadsheets/d/1XL5vhW3sbDhbH9Cz0tuDiY8C3ctxq1tqvaCgkFb8cCA/edit?usp=sharing"",""นครพนม!J175"")"),0)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IFERROR(__xludf.DUMMYFUNCTION("IMPORTRANGE(""https://docs.google.com/spreadsheets/d/1XL5vhW3sbDhbH9Cz0tuDiY8C3ctxq1tqvaCgkFb8cCA/edit?usp=sharing"",""นครพนม!J176"")"),1)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IFERROR(__xludf.DUMMYFUNCTION("IMPORTRANGE(""https://docs.google.com/spreadsheets/d/1XL5vhW3sbDhbH9Cz0tuDiY8C3ctxq1tqvaCgkFb8cCA/edit?usp=sharing"",""นครพนม!J177"")"),1)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IFERROR(__xludf.DUMMYFUNCTION("IMPORTRANGE(""https://docs.google.com/spreadsheets/d/1XL5vhW3sbDhbH9Cz0tuDiY8C3ctxq1tqvaCgkFb8cCA/edit?usp=sharing"",""นครพนม!J178"")"),1)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IFERROR(__xludf.DUMMYFUNCTION("IMPORTRANGE(""https://docs.google.com/spreadsheets/d/1XL5vhW3sbDhbH9Cz0tuDiY8C3ctxq1tqvaCgkFb8cCA/edit?usp=sharing"",""นครพนม!I179"")"),1)</f>
        <v>1</v>
      </c>
      <c r="J264" s="189">
        <f ca="1">IFERROR(__xludf.DUMMYFUNCTION("IMPORTRANGE(""https://docs.google.com/spreadsheets/d/1XL5vhW3sbDhbH9Cz0tuDiY8C3ctxq1tqvaCgkFb8cCA/edit?usp=sharing"",""นครพนม!J179"")"),1)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IFERROR(__xludf.DUMMYFUNCTION("IMPORTRANGE(""https://docs.google.com/spreadsheets/d/1XL5vhW3sbDhbH9Cz0tuDiY8C3ctxq1tqvaCgkFb8cCA/edit?usp=sharing"",""นครพนม!I180"")"),25)</f>
        <v>25</v>
      </c>
      <c r="J265" s="189">
        <f ca="1">IFERROR(__xludf.DUMMYFUNCTION("IMPORTRANGE(""https://docs.google.com/spreadsheets/d/1XL5vhW3sbDhbH9Cz0tuDiY8C3ctxq1tqvaCgkFb8cCA/edit?usp=sharing"",""นครพนม!J180"")"),25)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IFERROR(__xludf.DUMMYFUNCTION("IMPORTRANGE(""https://docs.google.com/spreadsheets/d/1XL5vhW3sbDhbH9Cz0tuDiY8C3ctxq1tqvaCgkFb8cCA/edit?usp=sharing"",""นครพนม!I181"")"),25)</f>
        <v>25</v>
      </c>
      <c r="J266" s="189">
        <f ca="1">IFERROR(__xludf.DUMMYFUNCTION("IMPORTRANGE(""https://docs.google.com/spreadsheets/d/1XL5vhW3sbDhbH9Cz0tuDiY8C3ctxq1tqvaCgkFb8cCA/edit?usp=sharing"",""นครพนม!J181"")"),0)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IFERROR(__xludf.DUMMYFUNCTION("IMPORTRANGE(""https://docs.google.com/spreadsheets/d/1XL5vhW3sbDhbH9Cz0tuDiY8C3ctxq1tqvaCgkFb8cCA/edit?usp=sharing"",""นครพนม!I182"")"),1)</f>
        <v>1</v>
      </c>
      <c r="J267" s="189">
        <f ca="1">IFERROR(__xludf.DUMMYFUNCTION("IMPORTRANGE(""https://docs.google.com/spreadsheets/d/1XL5vhW3sbDhbH9Cz0tuDiY8C3ctxq1tqvaCgkFb8cCA/edit?usp=sharing"",""นครพนม!J182"")"),1)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IFERROR(__xludf.DUMMYFUNCTION("IMPORTRANGE(""https://docs.google.com/spreadsheets/d/1XL5vhW3sbDhbH9Cz0tuDiY8C3ctxq1tqvaCgkFb8cCA/edit?usp=sharing"",""นครพนม!J183"")"),0)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IFERROR(__xludf.DUMMYFUNCTION("IMPORTRANGE(""https://docs.google.com/spreadsheets/d/1XL5vhW3sbDhbH9Cz0tuDiY8C3ctxq1tqvaCgkFb8cCA/edit?usp=sharing"",""นครพนม!J184"")"),0)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IFERROR(__xludf.DUMMYFUNCTION("IMPORTRANGE(""https://docs.google.com/spreadsheets/d/1XL5vhW3sbDhbH9Cz0tuDiY8C3ctxq1tqvaCgkFb8cCA/edit?usp=sharing"",""นครพนม!I185"")"),0)</f>
        <v>0</v>
      </c>
      <c r="J270" s="316">
        <f ca="1">IFERROR(__xludf.DUMMYFUNCTION("IMPORTRANGE(""https://docs.google.com/spreadsheets/d/1XL5vhW3sbDhbH9Cz0tuDiY8C3ctxq1tqvaCgkFb8cCA/edit?usp=sharing"",""นครพนม!J185"")"),0)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54" t="s">
        <v>17</v>
      </c>
      <c r="E271" s="555"/>
      <c r="F271" s="555"/>
      <c r="G271" s="555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5">
      <c r="A274" s="158"/>
      <c r="B274" s="159"/>
      <c r="C274" s="159" t="s">
        <v>16</v>
      </c>
      <c r="D274" s="552" t="s">
        <v>20</v>
      </c>
      <c r="E274" s="553"/>
      <c r="F274" s="55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IFERROR(__xludf.DUMMYFUNCTION("IMPORTRANGE(""https://docs.google.com/spreadsheets/d/1Yj_ptqi66GCucihVvJfMjLAmec39IyEx_6qawtMGysU/edit?usp=sharing"",""สบก!CK41"")"),0)</f>
        <v>0</v>
      </c>
      <c r="N275" s="169">
        <f ca="1">IFERROR(__xludf.DUMMYFUNCTION("IMPORTRANGE(""https://docs.google.com/spreadsheets/d/1Yj_ptqi66GCucihVvJfMjLAmec39IyEx_6qawtMGysU/edit?usp=sharing"",""สบก!CL41"")"),0)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IFERROR(__xludf.DUMMYFUNCTION("IMPORTRANGE(""https://docs.google.com/spreadsheets/d/1Yj_ptqi66GCucihVvJfMjLAmec39IyEx_6qawtMGysU/edit?usp=sharing"",""สบก!CG41"")"),0)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IFERROR(__xludf.DUMMYFUNCTION("IMPORTRANGE(""https://docs.google.com/spreadsheets/d/1Yj_ptqi66GCucihVvJfMjLAmec39IyEx_6qawtMGysU/edit?usp=sharing"",""สบก!CH41"")"),0)</f>
        <v>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52" t="s">
        <v>23</v>
      </c>
      <c r="E278" s="55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IFERROR(__xludf.DUMMYFUNCTION("IMPORTRANGE(""https://docs.google.com/spreadsheets/d/1Yj_ptqi66GCucihVvJfMjLAmec39IyEx_6qawtMGysU/edit?usp=sharing"",""สบก!CI41"")"),0)</f>
        <v>0</v>
      </c>
      <c r="M279" s="49"/>
      <c r="N279" s="49">
        <f ca="1">IFERROR(__xludf.DUMMYFUNCTION("IMPORTRANGE(""https://docs.google.com/spreadsheets/d/1Yj_ptqi66GCucihVvJfMjLAmec39IyEx_6qawtMGysU/edit?usp=sharing"",""สบก!CM41"")"),0)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IFERROR(__xludf.DUMMYFUNCTION("IMPORTRANGE(""https://docs.google.com/spreadsheets/d/1XL5vhW3sbDhbH9Cz0tuDiY8C3ctxq1tqvaCgkFb8cCA/edit?usp=sharing"",""นครพนม!J191"")"),0)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IFERROR(__xludf.DUMMYFUNCTION("IMPORTRANGE(""https://docs.google.com/spreadsheets/d/1XL5vhW3sbDhbH9Cz0tuDiY8C3ctxq1tqvaCgkFb8cCA/edit?usp=sharing"",""นครพนม!J192"")"),0)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IFERROR(__xludf.DUMMYFUNCTION("IMPORTRANGE(""https://docs.google.com/spreadsheets/d/1XL5vhW3sbDhbH9Cz0tuDiY8C3ctxq1tqvaCgkFb8cCA/edit?usp=sharing"",""นครพนม!J193"")"),0)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IFERROR(__xludf.DUMMYFUNCTION("IMPORTRANGE(""https://docs.google.com/spreadsheets/d/1XL5vhW3sbDhbH9Cz0tuDiY8C3ctxq1tqvaCgkFb8cCA/edit?usp=sharing"",""นครพนม!J194"")"),0)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IFERROR(__xludf.DUMMYFUNCTION("IMPORTRANGE(""https://docs.google.com/spreadsheets/d/1XL5vhW3sbDhbH9Cz0tuDiY8C3ctxq1tqvaCgkFb8cCA/edit?usp=sharing"",""นครพนม!I195"")"),0)</f>
        <v>0</v>
      </c>
      <c r="J285" s="189">
        <f ca="1">IFERROR(__xludf.DUMMYFUNCTION("IMPORTRANGE(""https://docs.google.com/spreadsheets/d/1XL5vhW3sbDhbH9Cz0tuDiY8C3ctxq1tqvaCgkFb8cCA/edit?usp=sharing"",""นครพนม!J195"")"),0)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IFERROR(__xludf.DUMMYFUNCTION("IMPORTRANGE(""https://docs.google.com/spreadsheets/d/1XL5vhW3sbDhbH9Cz0tuDiY8C3ctxq1tqvaCgkFb8cCA/edit?usp=sharing"",""นครพนม!J196"")"),0)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IFERROR(__xludf.DUMMYFUNCTION("IMPORTRANGE(""https://docs.google.com/spreadsheets/d/1XL5vhW3sbDhbH9Cz0tuDiY8C3ctxq1tqvaCgkFb8cCA/edit?usp=sharing"",""นครพนม!J197"")"),0)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IFERROR(__xludf.DUMMYFUNCTION("IMPORTRANGE(""https://docs.google.com/spreadsheets/d/1XL5vhW3sbDhbH9Cz0tuDiY8C3ctxq1tqvaCgkFb8cCA/edit?usp=sharing"",""นครพนม!I199"")"),0)</f>
        <v>0</v>
      </c>
      <c r="J289" s="316">
        <f ca="1">IFERROR(__xludf.DUMMYFUNCTION("IMPORTRANGE(""https://docs.google.com/spreadsheets/d/1XL5vhW3sbDhbH9Cz0tuDiY8C3ctxq1tqvaCgkFb8cCA/edit?usp=sharing"",""นครพนม!J199"")"),0)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54" t="s">
        <v>17</v>
      </c>
      <c r="E290" s="555"/>
      <c r="F290" s="555"/>
      <c r="G290" s="55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52" t="s">
        <v>20</v>
      </c>
      <c r="E293" s="553"/>
      <c r="F293" s="55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IFERROR(__xludf.DUMMYFUNCTION("IMPORTRANGE(""https://docs.google.com/spreadsheets/d/1Yj_ptqi66GCucihVvJfMjLAmec39IyEx_6qawtMGysU/edit?usp=sharing"",""สบก!CT41"")"),0)</f>
        <v>0</v>
      </c>
      <c r="N294" s="169">
        <f ca="1">IFERROR(__xludf.DUMMYFUNCTION("IMPORTRANGE(""https://docs.google.com/spreadsheets/d/1Yj_ptqi66GCucihVvJfMjLAmec39IyEx_6qawtMGysU/edit?usp=sharing"",""สบก!CU41"")"),0)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IFERROR(__xludf.DUMMYFUNCTION("IMPORTRANGE(""https://docs.google.com/spreadsheets/d/1Yj_ptqi66GCucihVvJfMjLAmec39IyEx_6qawtMGysU/edit?usp=sharing"",""สบก!CP41"")"),0)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IFERROR(__xludf.DUMMYFUNCTION("IMPORTRANGE(""https://docs.google.com/spreadsheets/d/1Yj_ptqi66GCucihVvJfMjLAmec39IyEx_6qawtMGysU/edit?usp=sharing"",""สบก!CQ41"")"),0)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52" t="s">
        <v>23</v>
      </c>
      <c r="E297" s="55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IFERROR(__xludf.DUMMYFUNCTION("IMPORTRANGE(""https://docs.google.com/spreadsheets/d/1Yj_ptqi66GCucihVvJfMjLAmec39IyEx_6qawtMGysU/edit?usp=sharing"",""สบก!CR41"")"),0)</f>
        <v>0</v>
      </c>
      <c r="M298" s="49"/>
      <c r="N298" s="49">
        <f ca="1">IFERROR(__xludf.DUMMYFUNCTION("IMPORTRANGE(""https://docs.google.com/spreadsheets/d/1Yj_ptqi66GCucihVvJfMjLAmec39IyEx_6qawtMGysU/edit?usp=sharing"",""สบก!CV41"")"),0)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IFERROR(__xludf.DUMMYFUNCTION("IMPORTRANGE(""https://docs.google.com/spreadsheets/d/1XL5vhW3sbDhbH9Cz0tuDiY8C3ctxq1tqvaCgkFb8cCA/edit?usp=sharing"",""นครพนม!J205"")"),0)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IFERROR(__xludf.DUMMYFUNCTION("IMPORTRANGE(""https://docs.google.com/spreadsheets/d/1XL5vhW3sbDhbH9Cz0tuDiY8C3ctxq1tqvaCgkFb8cCA/edit?usp=sharing"",""นครพนม!J206"")"),0)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IFERROR(__xludf.DUMMYFUNCTION("IMPORTRANGE(""https://docs.google.com/spreadsheets/d/1XL5vhW3sbDhbH9Cz0tuDiY8C3ctxq1tqvaCgkFb8cCA/edit?usp=sharing"",""นครพนม!J207"")"),0)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IFERROR(__xludf.DUMMYFUNCTION("IMPORTRANGE(""https://docs.google.com/spreadsheets/d/1XL5vhW3sbDhbH9Cz0tuDiY8C3ctxq1tqvaCgkFb8cCA/edit?usp=sharing"",""นครพนม!J208"")"),0)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IFERROR(__xludf.DUMMYFUNCTION("IMPORTRANGE(""https://docs.google.com/spreadsheets/d/1XL5vhW3sbDhbH9Cz0tuDiY8C3ctxq1tqvaCgkFb8cCA/edit?usp=sharing"",""นครพนม!I209"")"),0)</f>
        <v>0</v>
      </c>
      <c r="J304" s="204">
        <f ca="1">IFERROR(__xludf.DUMMYFUNCTION("IMPORTRANGE(""https://docs.google.com/spreadsheets/d/1XL5vhW3sbDhbH9Cz0tuDiY8C3ctxq1tqvaCgkFb8cCA/edit?usp=sharing"",""นครพนม!J209"")"),0)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IFERROR(__xludf.DUMMYFUNCTION("IMPORTRANGE(""https://docs.google.com/spreadsheets/d/1XL5vhW3sbDhbH9Cz0tuDiY8C3ctxq1tqvaCgkFb8cCA/edit?usp=sharing"",""นครพนม!I211"")"),0)</f>
        <v>0</v>
      </c>
      <c r="J306" s="204">
        <f ca="1">IFERROR(__xludf.DUMMYFUNCTION("IMPORTRANGE(""https://docs.google.com/spreadsheets/d/1XL5vhW3sbDhbH9Cz0tuDiY8C3ctxq1tqvaCgkFb8cCA/edit?usp=sharing"",""นครพนม!J211"")"),0)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IFERROR(__xludf.DUMMYFUNCTION("IMPORTRANGE(""https://docs.google.com/spreadsheets/d/1XL5vhW3sbDhbH9Cz0tuDiY8C3ctxq1tqvaCgkFb8cCA/edit?usp=sharing"",""นครพนม!J212"")"),0)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IFERROR(__xludf.DUMMYFUNCTION("IMPORTRANGE(""https://docs.google.com/spreadsheets/d/1XL5vhW3sbDhbH9Cz0tuDiY8C3ctxq1tqvaCgkFb8cCA/edit?usp=sharing"",""นครพนม!J213"")"),0)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IFERROR(__xludf.DUMMYFUNCTION("IMPORTRANGE(""https://docs.google.com/spreadsheets/d/1XL5vhW3sbDhbH9Cz0tuDiY8C3ctxq1tqvaCgkFb8cCA/edit?usp=sharing"",""นครพนม!I214"")"),0)</f>
        <v>0</v>
      </c>
      <c r="J309" s="333">
        <f ca="1">IFERROR(__xludf.DUMMYFUNCTION("IMPORTRANGE(""https://docs.google.com/spreadsheets/d/1XL5vhW3sbDhbH9Cz0tuDiY8C3ctxq1tqvaCgkFb8cCA/edit?usp=sharing"",""นครพนม!J214"")"),0)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54" t="s">
        <v>17</v>
      </c>
      <c r="E310" s="555"/>
      <c r="F310" s="555"/>
      <c r="G310" s="55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52" t="s">
        <v>20</v>
      </c>
      <c r="E313" s="553"/>
      <c r="F313" s="55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IFERROR(__xludf.DUMMYFUNCTION("IMPORTRANGE(""https://docs.google.com/spreadsheets/d/1Yj_ptqi66GCucihVvJfMjLAmec39IyEx_6qawtMGysU/edit?usp=sharing"",""สบก!DC41"")"),0)</f>
        <v>0</v>
      </c>
      <c r="N314" s="169">
        <f ca="1">IFERROR(__xludf.DUMMYFUNCTION("IMPORTRANGE(""https://docs.google.com/spreadsheets/d/1Yj_ptqi66GCucihVvJfMjLAmec39IyEx_6qawtMGysU/edit?usp=sharing"",""สบก!DD41"")"),0)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IFERROR(__xludf.DUMMYFUNCTION("IMPORTRANGE(""https://docs.google.com/spreadsheets/d/1Yj_ptqi66GCucihVvJfMjLAmec39IyEx_6qawtMGysU/edit?usp=sharing"",""สบก!CY41"")"),0)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IFERROR(__xludf.DUMMYFUNCTION("IMPORTRANGE(""https://docs.google.com/spreadsheets/d/1Yj_ptqi66GCucihVvJfMjLAmec39IyEx_6qawtMGysU/edit?usp=sharing"",""สบก!CZ41"")"),0)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52" t="s">
        <v>23</v>
      </c>
      <c r="E317" s="55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IFERROR(__xludf.DUMMYFUNCTION("IMPORTRANGE(""https://docs.google.com/spreadsheets/d/1Yj_ptqi66GCucihVvJfMjLAmec39IyEx_6qawtMGysU/edit?usp=sharing"",""สบก!DA41"")"),0)</f>
        <v>0</v>
      </c>
      <c r="M318" s="49"/>
      <c r="N318" s="49">
        <f ca="1">IFERROR(__xludf.DUMMYFUNCTION("IMPORTRANGE(""https://docs.google.com/spreadsheets/d/1Yj_ptqi66GCucihVvJfMjLAmec39IyEx_6qawtMGysU/edit?usp=sharing"",""สบก!DE41"")"),0)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IFERROR(__xludf.DUMMYFUNCTION("IMPORTRANGE(""https://docs.google.com/spreadsheets/d/1XL5vhW3sbDhbH9Cz0tuDiY8C3ctxq1tqvaCgkFb8cCA/edit?usp=sharing"",""นครพนม!J220"")"),0)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IFERROR(__xludf.DUMMYFUNCTION("IMPORTRANGE(""https://docs.google.com/spreadsheets/d/1XL5vhW3sbDhbH9Cz0tuDiY8C3ctxq1tqvaCgkFb8cCA/edit?usp=sharing"",""นครพนม!J221"")"),0)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IFERROR(__xludf.DUMMYFUNCTION("IMPORTRANGE(""https://docs.google.com/spreadsheets/d/1XL5vhW3sbDhbH9Cz0tuDiY8C3ctxq1tqvaCgkFb8cCA/edit?usp=sharing"",""นครพนม!J222"")"),0)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IFERROR(__xludf.DUMMYFUNCTION("IMPORTRANGE(""https://docs.google.com/spreadsheets/d/1XL5vhW3sbDhbH9Cz0tuDiY8C3ctxq1tqvaCgkFb8cCA/edit?usp=sharing"",""นครพนม!J223"")"),0)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IFERROR(__xludf.DUMMYFUNCTION("IMPORTRANGE(""https://docs.google.com/spreadsheets/d/1XL5vhW3sbDhbH9Cz0tuDiY8C3ctxq1tqvaCgkFb8cCA/edit?usp=sharing"",""นครพนม!I224"")"),0)</f>
        <v>0</v>
      </c>
      <c r="J324" s="204">
        <f ca="1">IFERROR(__xludf.DUMMYFUNCTION("IMPORTRANGE(""https://docs.google.com/spreadsheets/d/1XL5vhW3sbDhbH9Cz0tuDiY8C3ctxq1tqvaCgkFb8cCA/edit?usp=sharing"",""นครพนม!J224"")"),0)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IFERROR(__xludf.DUMMYFUNCTION("IMPORTRANGE(""https://docs.google.com/spreadsheets/d/1XL5vhW3sbDhbH9Cz0tuDiY8C3ctxq1tqvaCgkFb8cCA/edit?usp=sharing"",""นครพนม!J225"")"),0)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IFERROR(__xludf.DUMMYFUNCTION("IMPORTRANGE(""https://docs.google.com/spreadsheets/d/1XL5vhW3sbDhbH9Cz0tuDiY8C3ctxq1tqvaCgkFb8cCA/edit?usp=sharing"",""นครพนม!J226"")"),0)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IFERROR(__xludf.DUMMYFUNCTION("IMPORTRANGE(""https://docs.google.com/spreadsheets/d/1XL5vhW3sbDhbH9Cz0tuDiY8C3ctxq1tqvaCgkFb8cCA/edit?usp=sharing"",""นครพนม!I228"")"),205)</f>
        <v>205</v>
      </c>
      <c r="J328" s="339">
        <f ca="1">IFERROR(__xludf.DUMMYFUNCTION("IMPORTRANGE(""https://docs.google.com/spreadsheets/d/1XL5vhW3sbDhbH9Cz0tuDiY8C3ctxq1tqvaCgkFb8cCA/edit?usp=sharing"",""นครพนม!J228"")"),59)</f>
        <v>59</v>
      </c>
      <c r="K328" s="317">
        <f ca="1">IF(I328&gt;0,J328*100/I328,0)</f>
        <v>28.780487804878049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54" t="s">
        <v>17</v>
      </c>
      <c r="E329" s="555"/>
      <c r="F329" s="555"/>
      <c r="G329" s="555"/>
      <c r="H329" s="149" t="s">
        <v>12</v>
      </c>
      <c r="I329" s="162"/>
      <c r="J329" s="162"/>
      <c r="K329" s="163"/>
      <c r="L329" s="152">
        <f t="shared" ref="L329:N329" ca="1" si="98">L330+L331</f>
        <v>892570</v>
      </c>
      <c r="M329" s="152">
        <f t="shared" ca="1" si="98"/>
        <v>669000</v>
      </c>
      <c r="N329" s="152">
        <f t="shared" ca="1" si="98"/>
        <v>446960.08</v>
      </c>
      <c r="O329" s="151">
        <f t="shared" ref="O329:O331" ca="1" si="99">IF(L329&gt;0,N329*100/L329,0)</f>
        <v>50.075633283664025</v>
      </c>
      <c r="P329" s="151">
        <f t="shared" ref="P329:P331" ca="1" si="100">IF(M329&gt;0,N329*100/M329,0)</f>
        <v>66.810176382660686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892570</v>
      </c>
      <c r="M331" s="157">
        <f t="shared" ca="1" si="102"/>
        <v>669000</v>
      </c>
      <c r="N331" s="157">
        <f t="shared" ca="1" si="102"/>
        <v>446960.08</v>
      </c>
      <c r="O331" s="156">
        <f t="shared" ca="1" si="99"/>
        <v>50.075633283664025</v>
      </c>
      <c r="P331" s="156">
        <f t="shared" ca="1" si="100"/>
        <v>66.810176382660686</v>
      </c>
    </row>
    <row r="332" spans="1:16" ht="21.75" customHeight="1" x14ac:dyDescent="0.45">
      <c r="A332" s="158"/>
      <c r="B332" s="159"/>
      <c r="C332" s="159" t="s">
        <v>16</v>
      </c>
      <c r="D332" s="552" t="s">
        <v>20</v>
      </c>
      <c r="E332" s="553"/>
      <c r="F332" s="55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793270</v>
      </c>
      <c r="M333" s="168">
        <f ca="1">IFERROR(__xludf.DUMMYFUNCTION("IMPORTRANGE(""https://docs.google.com/spreadsheets/d/1Yj_ptqi66GCucihVvJfMjLAmec39IyEx_6qawtMGysU/edit?usp=sharing"",""สบก!DL41"")"),569700)</f>
        <v>569700</v>
      </c>
      <c r="N333" s="169">
        <f ca="1">IFERROR(__xludf.DUMMYFUNCTION("IMPORTRANGE(""https://docs.google.com/spreadsheets/d/1Yj_ptqi66GCucihVvJfMjLAmec39IyEx_6qawtMGysU/edit?usp=sharing"",""สบก!DM41"")"),347660.08)</f>
        <v>347660.08</v>
      </c>
      <c r="O333" s="169">
        <f ca="1">IF(L333&gt;0,N333*100/L333,0)</f>
        <v>43.826197889747498</v>
      </c>
      <c r="P333" s="169">
        <f ca="1">IF(M333&gt;0,N333*100/M333,0)</f>
        <v>61.0251149727927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IFERROR(__xludf.DUMMYFUNCTION("IMPORTRANGE(""https://docs.google.com/spreadsheets/d/1Yj_ptqi66GCucihVvJfMjLAmec39IyEx_6qawtMGysU/edit?usp=sharing"",""สบก!DH41"")"),388800)</f>
        <v>388800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IFERROR(__xludf.DUMMYFUNCTION("IMPORTRANGE(""https://docs.google.com/spreadsheets/d/1Yj_ptqi66GCucihVvJfMjLAmec39IyEx_6qawtMGysU/edit?usp=sharing"",""สบก!DI41"")"),404470)</f>
        <v>404470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52" t="s">
        <v>23</v>
      </c>
      <c r="E336" s="55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IFERROR(__xludf.DUMMYFUNCTION("IMPORTRANGE(""https://docs.google.com/spreadsheets/d/1Yj_ptqi66GCucihVvJfMjLAmec39IyEx_6qawtMGysU/edit?usp=sharing"",""สบก!DJ41"")"),99300)</f>
        <v>99300</v>
      </c>
      <c r="M337" s="49">
        <f ca="1">L337</f>
        <v>99300</v>
      </c>
      <c r="N337" s="49">
        <f ca="1">IFERROR(__xludf.DUMMYFUNCTION("IMPORTRANGE(""https://docs.google.com/spreadsheets/d/1Yj_ptqi66GCucihVvJfMjLAmec39IyEx_6qawtMGysU/edit?usp=sharing"",""สบก!DN41"")"),99300)</f>
        <v>99300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IFERROR(__xludf.DUMMYFUNCTION("IMPORTRANGE(""https://docs.google.com/spreadsheets/d/1XL5vhW3sbDhbH9Cz0tuDiY8C3ctxq1tqvaCgkFb8cCA/edit?usp=sharing"",""นครพนม!I234"")"),0)</f>
        <v>0</v>
      </c>
      <c r="J339" s="188">
        <f ca="1">IFERROR(__xludf.DUMMYFUNCTION("IMPORTRANGE(""https://docs.google.com/spreadsheets/d/1XL5vhW3sbDhbH9Cz0tuDiY8C3ctxq1tqvaCgkFb8cCA/edit?usp=sharing"",""นครพนม!J234"")"),98)</f>
        <v>98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IFERROR(__xludf.DUMMYFUNCTION("IMPORTRANGE(""https://docs.google.com/spreadsheets/d/1XL5vhW3sbDhbH9Cz0tuDiY8C3ctxq1tqvaCgkFb8cCA/edit?usp=sharing"",""นครพนม!I235"")"),2340)</f>
        <v>2340</v>
      </c>
      <c r="J340" s="188">
        <f ca="1">IFERROR(__xludf.DUMMYFUNCTION("IMPORTRANGE(""https://docs.google.com/spreadsheets/d/1XL5vhW3sbDhbH9Cz0tuDiY8C3ctxq1tqvaCgkFb8cCA/edit?usp=sharing"",""นครพนม!J235"")"),995.86)</f>
        <v>995.86</v>
      </c>
      <c r="K340" s="342">
        <f t="shared" ca="1" si="103"/>
        <v>42.558119658119658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IFERROR(__xludf.DUMMYFUNCTION("IMPORTRANGE(""https://docs.google.com/spreadsheets/d/1XL5vhW3sbDhbH9Cz0tuDiY8C3ctxq1tqvaCgkFb8cCA/edit?usp=sharing"",""นครพนม!I236"")"),205)</f>
        <v>205</v>
      </c>
      <c r="J341" s="188">
        <f ca="1">IFERROR(__xludf.DUMMYFUNCTION("IMPORTRANGE(""https://docs.google.com/spreadsheets/d/1XL5vhW3sbDhbH9Cz0tuDiY8C3ctxq1tqvaCgkFb8cCA/edit?usp=sharing"",""นครพนม!J236"")"),163)</f>
        <v>163</v>
      </c>
      <c r="K341" s="342">
        <f t="shared" ca="1" si="103"/>
        <v>79.512195121951223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IFERROR(__xludf.DUMMYFUNCTION("IMPORTRANGE(""https://docs.google.com/spreadsheets/d/1XL5vhW3sbDhbH9Cz0tuDiY8C3ctxq1tqvaCgkFb8cCA/edit?usp=sharing"",""นครพนม!I237"")"),0)</f>
        <v>0</v>
      </c>
      <c r="J342" s="188">
        <f ca="1">IFERROR(__xludf.DUMMYFUNCTION("IMPORTRANGE(""https://docs.google.com/spreadsheets/d/1XL5vhW3sbDhbH9Cz0tuDiY8C3ctxq1tqvaCgkFb8cCA/edit?usp=sharing"",""นครพนม!J237"")"),1593.82)</f>
        <v>1593.82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IFERROR(__xludf.DUMMYFUNCTION("IMPORTRANGE(""https://docs.google.com/spreadsheets/d/1XL5vhW3sbDhbH9Cz0tuDiY8C3ctxq1tqvaCgkFb8cCA/edit?usp=sharing"",""นครพนม!I238"")"),205)</f>
        <v>205</v>
      </c>
      <c r="J343" s="188">
        <f ca="1">IFERROR(__xludf.DUMMYFUNCTION("IMPORTRANGE(""https://docs.google.com/spreadsheets/d/1XL5vhW3sbDhbH9Cz0tuDiY8C3ctxq1tqvaCgkFb8cCA/edit?usp=sharing"",""นครพนม!J238"")"),0)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IFERROR(__xludf.DUMMYFUNCTION("IMPORTRANGE(""https://docs.google.com/spreadsheets/d/1XL5vhW3sbDhbH9Cz0tuDiY8C3ctxq1tqvaCgkFb8cCA/edit?usp=sharing"",""นครพนม!I239"")"),0)</f>
        <v>0</v>
      </c>
      <c r="J344" s="188">
        <f ca="1">IFERROR(__xludf.DUMMYFUNCTION("IMPORTRANGE(""https://docs.google.com/spreadsheets/d/1XL5vhW3sbDhbH9Cz0tuDiY8C3ctxq1tqvaCgkFb8cCA/edit?usp=sharing"",""นครพนม!J239"")"),0)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IFERROR(__xludf.DUMMYFUNCTION("IMPORTRANGE(""https://docs.google.com/spreadsheets/d/1XL5vhW3sbDhbH9Cz0tuDiY8C3ctxq1tqvaCgkFb8cCA/edit?usp=sharing"",""นครพนม!I240"")"),205)</f>
        <v>205</v>
      </c>
      <c r="J345" s="188">
        <f ca="1">IFERROR(__xludf.DUMMYFUNCTION("IMPORTRANGE(""https://docs.google.com/spreadsheets/d/1XL5vhW3sbDhbH9Cz0tuDiY8C3ctxq1tqvaCgkFb8cCA/edit?usp=sharing"",""นครพนม!J240"")"),59)</f>
        <v>59</v>
      </c>
      <c r="K345" s="342">
        <f t="shared" ca="1" si="103"/>
        <v>28.780487804878049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IFERROR(__xludf.DUMMYFUNCTION("IMPORTRANGE(""https://docs.google.com/spreadsheets/d/1XL5vhW3sbDhbH9Cz0tuDiY8C3ctxq1tqvaCgkFb8cCA/edit?usp=sharing"",""นครพนม!I241"")"),0)</f>
        <v>0</v>
      </c>
      <c r="J346" s="188">
        <f ca="1">IFERROR(__xludf.DUMMYFUNCTION("IMPORTRANGE(""https://docs.google.com/spreadsheets/d/1XL5vhW3sbDhbH9Cz0tuDiY8C3ctxq1tqvaCgkFb8cCA/edit?usp=sharing"",""นครพนม!J241"")"),605.35)</f>
        <v>605.35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IFERROR(__xludf.DUMMYFUNCTION("IMPORTRANGE(""https://docs.google.com/spreadsheets/d/1XL5vhW3sbDhbH9Cz0tuDiY8C3ctxq1tqvaCgkFb8cCA/edit?usp=sharing"",""นครพนม!L242"")"),2036359)</f>
        <v>2036359</v>
      </c>
      <c r="M347" s="358"/>
      <c r="N347" s="358">
        <f ca="1">IFERROR(__xludf.DUMMYFUNCTION("IMPORTRANGE(""https://docs.google.com/spreadsheets/d/1XL5vhW3sbDhbH9Cz0tuDiY8C3ctxq1tqvaCgkFb8cCA/edit?usp=sharing"",""นครพนม!M242"")"),500111.46)</f>
        <v>500111.46</v>
      </c>
      <c r="O347" s="358">
        <f ca="1">+IF(L347&gt;0,N347*100/L347,0)</f>
        <v>24.559100826524205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IFERROR(__xludf.DUMMYFUNCTION("IMPORTRANGE(""https://docs.google.com/spreadsheets/d/1XL5vhW3sbDhbH9Cz0tuDiY8C3ctxq1tqvaCgkFb8cCA/edit?usp=sharing"",""นครพนม!I244"")"),80)</f>
        <v>80</v>
      </c>
      <c r="J349" s="371">
        <f ca="1">IFERROR(__xludf.DUMMYFUNCTION("IMPORTRANGE(""https://docs.google.com/spreadsheets/d/1XL5vhW3sbDhbH9Cz0tuDiY8C3ctxq1tqvaCgkFb8cCA/edit?usp=sharing"",""นครพนม!J244"")"),0)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IFERROR(__xludf.DUMMYFUNCTION("IMPORTRANGE(""https://docs.google.com/spreadsheets/d/1XL5vhW3sbDhbH9Cz0tuDiY8C3ctxq1tqvaCgkFb8cCA/edit?usp=sharing"",""นครพนม!L244"")"),300160)</f>
        <v>300160</v>
      </c>
      <c r="M349" s="373"/>
      <c r="N349" s="373">
        <f ca="1">IFERROR(__xludf.DUMMYFUNCTION("IMPORTRANGE(""https://docs.google.com/spreadsheets/d/1XL5vhW3sbDhbH9Cz0tuDiY8C3ctxq1tqvaCgkFb8cCA/edit?usp=sharing"",""นครพนม!M244"")"),122043)</f>
        <v>122043</v>
      </c>
      <c r="O349" s="373">
        <f ca="1">+IF(L349&gt;0,N349*100/L349,0)</f>
        <v>40.659315031982942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IFERROR(__xludf.DUMMYFUNCTION("IMPORTRANGE(""https://docs.google.com/spreadsheets/d/1XL5vhW3sbDhbH9Cz0tuDiY8C3ctxq1tqvaCgkFb8cCA/edit?usp=sharing"",""นครพนม!I245"")"),40)</f>
        <v>40</v>
      </c>
      <c r="J350" s="371">
        <f ca="1">IFERROR(__xludf.DUMMYFUNCTION("IMPORTRANGE(""https://docs.google.com/spreadsheets/d/1XL5vhW3sbDhbH9Cz0tuDiY8C3ctxq1tqvaCgkFb8cCA/edit?usp=sharing"",""นครพนม!J245"")"),40)</f>
        <v>40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IFERROR(__xludf.DUMMYFUNCTION("IMPORTRANGE(""https://docs.google.com/spreadsheets/d/1XL5vhW3sbDhbH9Cz0tuDiY8C3ctxq1tqvaCgkFb8cCA/edit?usp=sharing"",""นครพนม!L246"")"),0)</f>
        <v>0</v>
      </c>
      <c r="M351" s="164"/>
      <c r="N351" s="164">
        <f ca="1">IFERROR(__xludf.DUMMYFUNCTION("IMPORTRANGE(""https://docs.google.com/spreadsheets/d/1XL5vhW3sbDhbH9Cz0tuDiY8C3ctxq1tqvaCgkFb8cCA/edit?usp=sharing"",""นครพนม!M246"")"),0)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IFERROR(__xludf.DUMMYFUNCTION("IMPORTRANGE(""https://docs.google.com/spreadsheets/d/1XL5vhW3sbDhbH9Cz0tuDiY8C3ctxq1tqvaCgkFb8cCA/edit?usp=sharing"",""นครพนม!L247"")"),300160)</f>
        <v>300160</v>
      </c>
      <c r="M352" s="165"/>
      <c r="N352" s="164">
        <f ca="1">IFERROR(__xludf.DUMMYFUNCTION("IMPORTRANGE(""https://docs.google.com/spreadsheets/d/1XL5vhW3sbDhbH9Cz0tuDiY8C3ctxq1tqvaCgkFb8cCA/edit?usp=sharing"",""นครพนม!M247"")"),122043)</f>
        <v>122043</v>
      </c>
      <c r="O352" s="165">
        <f t="shared" ca="1" si="105"/>
        <v>40.659315031982942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IFERROR(__xludf.DUMMYFUNCTION("IMPORTRANGE(""https://docs.google.com/spreadsheets/d/1XL5vhW3sbDhbH9Cz0tuDiY8C3ctxq1tqvaCgkFb8cCA/edit?usp=sharing"",""นครพนม!L248"")"),0)</f>
        <v>0</v>
      </c>
      <c r="M353" s="169"/>
      <c r="N353" s="169">
        <f ca="1">IFERROR(__xludf.DUMMYFUNCTION("IMPORTRANGE(""https://docs.google.com/spreadsheets/d/1XL5vhW3sbDhbH9Cz0tuDiY8C3ctxq1tqvaCgkFb8cCA/edit?usp=sharing"",""นครพนม!M248"")"),0)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IFERROR(__xludf.DUMMYFUNCTION("IMPORTRANGE(""https://docs.google.com/spreadsheets/d/1XL5vhW3sbDhbH9Cz0tuDiY8C3ctxq1tqvaCgkFb8cCA/edit?usp=sharing"",""นครพนม!L249"")"),300160)</f>
        <v>300160</v>
      </c>
      <c r="M354" s="169"/>
      <c r="N354" s="168">
        <f ca="1">IFERROR(__xludf.DUMMYFUNCTION("IMPORTRANGE(""https://docs.google.com/spreadsheets/d/1XL5vhW3sbDhbH9Cz0tuDiY8C3ctxq1tqvaCgkFb8cCA/edit?usp=sharing"",""นครพนม!M249"")"),122043)</f>
        <v>122043</v>
      </c>
      <c r="O354" s="169">
        <f t="shared" ca="1" si="105"/>
        <v>40.659315031982942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IFERROR(__xludf.DUMMYFUNCTION("IMPORTRANGE(""https://docs.google.com/spreadsheets/d/1XL5vhW3sbDhbH9Cz0tuDiY8C3ctxq1tqvaCgkFb8cCA/edit?usp=sharing"",""นครพนม!M250"")"),19170)</f>
        <v>19170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IFERROR(__xludf.DUMMYFUNCTION("IMPORTRANGE(""https://docs.google.com/spreadsheets/d/1XL5vhW3sbDhbH9Cz0tuDiY8C3ctxq1tqvaCgkFb8cCA/edit?usp=sharing"",""นครพนม!M251"")"),32000)</f>
        <v>32000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IFERROR(__xludf.DUMMYFUNCTION("IMPORTRANGE(""https://docs.google.com/spreadsheets/d/1XL5vhW3sbDhbH9Cz0tuDiY8C3ctxq1tqvaCgkFb8cCA/edit?usp=sharing"",""นครพนม!M252"")"),63871)</f>
        <v>63871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IFERROR(__xludf.DUMMYFUNCTION("IMPORTRANGE(""https://docs.google.com/spreadsheets/d/1XL5vhW3sbDhbH9Cz0tuDiY8C3ctxq1tqvaCgkFb8cCA/edit?usp=sharing"",""นครพนม!M253"")"),7002)</f>
        <v>7002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IFERROR(__xludf.DUMMYFUNCTION("IMPORTRANGE(""https://docs.google.com/spreadsheets/d/1XL5vhW3sbDhbH9Cz0tuDiY8C3ctxq1tqvaCgkFb8cCA/edit?usp=sharing"",""นครพนม!J255"")"),0)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IFERROR(__xludf.DUMMYFUNCTION("IMPORTRANGE(""https://docs.google.com/spreadsheets/d/1XL5vhW3sbDhbH9Cz0tuDiY8C3ctxq1tqvaCgkFb8cCA/edit?usp=sharing"",""นครพนม!J256"")"),1)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IFERROR(__xludf.DUMMYFUNCTION("IMPORTRANGE(""https://docs.google.com/spreadsheets/d/1XL5vhW3sbDhbH9Cz0tuDiY8C3ctxq1tqvaCgkFb8cCA/edit?usp=sharing"",""นครพนม!J257"")"),1)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IFERROR(__xludf.DUMMYFUNCTION("IMPORTRANGE(""https://docs.google.com/spreadsheets/d/1XL5vhW3sbDhbH9Cz0tuDiY8C3ctxq1tqvaCgkFb8cCA/edit?usp=sharing"",""นครพนม!J258"")"),1)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IFERROR(__xludf.DUMMYFUNCTION("IMPORTRANGE(""https://docs.google.com/spreadsheets/d/1XL5vhW3sbDhbH9Cz0tuDiY8C3ctxq1tqvaCgkFb8cCA/edit?usp=sharing"",""นครพนม!J166"")"),0)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IFERROR(__xludf.DUMMYFUNCTION("IMPORTRANGE(""https://docs.google.com/spreadsheets/d/1XL5vhW3sbDhbH9Cz0tuDiY8C3ctxq1tqvaCgkFb8cCA/edit?usp=sharing"",""นครพนม!J166"")"),0)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IFERROR(__xludf.DUMMYFUNCTION("IMPORTRANGE(""https://docs.google.com/spreadsheets/d/1XL5vhW3sbDhbH9Cz0tuDiY8C3ctxq1tqvaCgkFb8cCA/edit?usp=sharing"",""นครพนม!J166"")"),0)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IFERROR(__xludf.DUMMYFUNCTION("IMPORTRANGE(""https://docs.google.com/spreadsheets/d/1XL5vhW3sbDhbH9Cz0tuDiY8C3ctxq1tqvaCgkFb8cCA/edit?usp=sharing"",""นครพนม!J166"")"),0)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IFERROR(__xludf.DUMMYFUNCTION("IMPORTRANGE(""https://docs.google.com/spreadsheets/d/1XL5vhW3sbDhbH9Cz0tuDiY8C3ctxq1tqvaCgkFb8cCA/edit?usp=sharing"",""นครพนม!I263"")"),40)</f>
        <v>40</v>
      </c>
      <c r="J368" s="188">
        <f ca="1">IFERROR(__xludf.DUMMYFUNCTION("IMPORTRANGE(""https://docs.google.com/spreadsheets/d/1XL5vhW3sbDhbH9Cz0tuDiY8C3ctxq1tqvaCgkFb8cCA/edit?usp=sharing"",""นครพนม!J263"")"),40)</f>
        <v>40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IFERROR(__xludf.DUMMYFUNCTION("IMPORTRANGE(""https://docs.google.com/spreadsheets/d/1XL5vhW3sbDhbH9Cz0tuDiY8C3ctxq1tqvaCgkFb8cCA/edit?usp=sharing"",""นครพนม!I164"")"),0)</f>
        <v>0</v>
      </c>
      <c r="J369" s="204">
        <f ca="1">IFERROR(__xludf.DUMMYFUNCTION("IMPORTRANGE(""https://docs.google.com/spreadsheets/d/1XL5vhW3sbDhbH9Cz0tuDiY8C3ctxq1tqvaCgkFb8cCA/edit?usp=sharing"",""นครพนม!J164"")"),0)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293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IFERROR(__xludf.DUMMYFUNCTION("IMPORTRANGE(""https://docs.google.com/spreadsheets/d/1XL5vhW3sbDhbH9Cz0tuDiY8C3ctxq1tqvaCgkFb8cCA/edit?usp=sharing"",""นครพนม!I265"")"),40)</f>
        <v>40</v>
      </c>
      <c r="J370" s="204">
        <f ca="1">IFERROR(__xludf.DUMMYFUNCTION("IMPORTRANGE(""https://docs.google.com/spreadsheets/d/1XL5vhW3sbDhbH9Cz0tuDiY8C3ctxq1tqvaCgkFb8cCA/edit?usp=sharing"",""นครพนม!J265"")"),40)</f>
        <v>40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IFERROR(__xludf.DUMMYFUNCTION("IMPORTRANGE(""https://docs.google.com/spreadsheets/d/1XL5vhW3sbDhbH9Cz0tuDiY8C3ctxq1tqvaCgkFb8cCA/edit?usp=sharing"",""นครพนม!I164"")"),0)</f>
        <v>0</v>
      </c>
      <c r="J371" s="189">
        <f ca="1">IFERROR(__xludf.DUMMYFUNCTION("IMPORTRANGE(""https://docs.google.com/spreadsheets/d/1XL5vhW3sbDhbH9Cz0tuDiY8C3ctxq1tqvaCgkFb8cCA/edit?usp=sharing"",""นครพนม!J164"")"),0)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293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IFERROR(__xludf.DUMMYFUNCTION("IMPORTRANGE(""https://docs.google.com/spreadsheets/d/1XL5vhW3sbDhbH9Cz0tuDiY8C3ctxq1tqvaCgkFb8cCA/edit?usp=sharing"",""นครพนม!I267"")"),40)</f>
        <v>40</v>
      </c>
      <c r="J372" s="189">
        <f ca="1">IFERROR(__xludf.DUMMYFUNCTION("IMPORTRANGE(""https://docs.google.com/spreadsheets/d/1XL5vhW3sbDhbH9Cz0tuDiY8C3ctxq1tqvaCgkFb8cCA/edit?usp=sharing"",""นครพนม!J267"")"),40)</f>
        <v>40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IFERROR(__xludf.DUMMYFUNCTION("IMPORTRANGE(""https://docs.google.com/spreadsheets/d/1XL5vhW3sbDhbH9Cz0tuDiY8C3ctxq1tqvaCgkFb8cCA/edit?usp=sharing"",""นครพนม!I164"")"),0)</f>
        <v>0</v>
      </c>
      <c r="J373" s="204">
        <f ca="1">IFERROR(__xludf.DUMMYFUNCTION("IMPORTRANGE(""https://docs.google.com/spreadsheets/d/1XL5vhW3sbDhbH9Cz0tuDiY8C3ctxq1tqvaCgkFb8cCA/edit?usp=sharing"",""นครพนม!J164"")"),0)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IFERROR(__xludf.DUMMYFUNCTION("IMPORTRANGE(""https://docs.google.com/spreadsheets/d/1XL5vhW3sbDhbH9Cz0tuDiY8C3ctxq1tqvaCgkFb8cCA/edit?usp=sharing"",""นครพนม!I164"")"),0)</f>
        <v>0</v>
      </c>
      <c r="J374" s="188">
        <f ca="1">IFERROR(__xludf.DUMMYFUNCTION("IMPORTRANGE(""https://docs.google.com/spreadsheets/d/1XL5vhW3sbDhbH9Cz0tuDiY8C3ctxq1tqvaCgkFb8cCA/edit?usp=sharing"",""นครพนม!J164"")"),0)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IFERROR(__xludf.DUMMYFUNCTION("IMPORTRANGE(""https://docs.google.com/spreadsheets/d/1XL5vhW3sbDhbH9Cz0tuDiY8C3ctxq1tqvaCgkFb8cCA/edit?usp=sharing"",""นครพนม!I270"")"),80)</f>
        <v>80</v>
      </c>
      <c r="J375" s="188">
        <f ca="1">IFERROR(__xludf.DUMMYFUNCTION("IMPORTRANGE(""https://docs.google.com/spreadsheets/d/1XL5vhW3sbDhbH9Cz0tuDiY8C3ctxq1tqvaCgkFb8cCA/edit?usp=sharing"",""นครพนม!J270"")"),0)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IFERROR(__xludf.DUMMYFUNCTION("IMPORTRANGE(""https://docs.google.com/spreadsheets/d/1XL5vhW3sbDhbH9Cz0tuDiY8C3ctxq1tqvaCgkFb8cCA/edit?usp=sharing"",""นครพนม!I271"")"),20)</f>
        <v>20</v>
      </c>
      <c r="J376" s="189">
        <f ca="1">IFERROR(__xludf.DUMMYFUNCTION("IMPORTRANGE(""https://docs.google.com/spreadsheets/d/1XL5vhW3sbDhbH9Cz0tuDiY8C3ctxq1tqvaCgkFb8cCA/edit?usp=sharing"",""นครพนม!J271"")"),0)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IFERROR(__xludf.DUMMYFUNCTION("IMPORTRANGE(""https://docs.google.com/spreadsheets/d/1XL5vhW3sbDhbH9Cz0tuDiY8C3ctxq1tqvaCgkFb8cCA/edit?usp=sharing"",""นครพนม!I272"")"),60)</f>
        <v>60</v>
      </c>
      <c r="J377" s="204">
        <f ca="1">IFERROR(__xludf.DUMMYFUNCTION("IMPORTRANGE(""https://docs.google.com/spreadsheets/d/1XL5vhW3sbDhbH9Cz0tuDiY8C3ctxq1tqvaCgkFb8cCA/edit?usp=sharing"",""นครพนม!J272"")"),0)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IFERROR(__xludf.DUMMYFUNCTION("IMPORTRANGE(""https://docs.google.com/spreadsheets/d/1XL5vhW3sbDhbH9Cz0tuDiY8C3ctxq1tqvaCgkFb8cCA/edit?usp=sharing"",""นครพนม!J273"")"),0)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IFERROR(__xludf.DUMMYFUNCTION("IMPORTRANGE(""https://docs.google.com/spreadsheets/d/1XL5vhW3sbDhbH9Cz0tuDiY8C3ctxq1tqvaCgkFb8cCA/edit?usp=sharing"",""นครพนม!J274"")"),0)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IFERROR(__xludf.DUMMYFUNCTION("IMPORTRANGE(""https://docs.google.com/spreadsheets/d/1XL5vhW3sbDhbH9Cz0tuDiY8C3ctxq1tqvaCgkFb8cCA/edit?usp=sharing"",""นครพนม!I275"")"),1000)</f>
        <v>1000</v>
      </c>
      <c r="J380" s="371">
        <f ca="1">IFERROR(__xludf.DUMMYFUNCTION("IMPORTRANGE(""https://docs.google.com/spreadsheets/d/1XL5vhW3sbDhbH9Cz0tuDiY8C3ctxq1tqvaCgkFb8cCA/edit?usp=sharing"",""นครพนม!J275"")"),0)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IFERROR(__xludf.DUMMYFUNCTION("IMPORTRANGE(""https://docs.google.com/spreadsheets/d/1XL5vhW3sbDhbH9Cz0tuDiY8C3ctxq1tqvaCgkFb8cCA/edit?usp=sharing"",""นครพนม!L275"")"),1028520)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IFERROR(__xludf.DUMMYFUNCTION("IMPORTRANGE(""https://docs.google.com/spreadsheets/d/1XL5vhW3sbDhbH9Cz0tuDiY8C3ctxq1tqvaCgkFb8cCA/edit?usp=sharing"",""นครพนม!M275"")"),149188.65)</f>
        <v>149188.65</v>
      </c>
      <c r="O380" s="373">
        <f ca="1">+IF(L380&gt;0,N380*100/L380,0)</f>
        <v>14.505177342200444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IFERROR(__xludf.DUMMYFUNCTION("IMPORTRANGE(""https://docs.google.com/spreadsheets/d/1XL5vhW3sbDhbH9Cz0tuDiY8C3ctxq1tqvaCgkFb8cCA/edit?usp=sharing"",""นครพนม!I276"")"),100)</f>
        <v>100</v>
      </c>
      <c r="J381" s="371">
        <f ca="1">IFERROR(__xludf.DUMMYFUNCTION("IMPORTRANGE(""https://docs.google.com/spreadsheets/d/1XL5vhW3sbDhbH9Cz0tuDiY8C3ctxq1tqvaCgkFb8cCA/edit?usp=sharing"",""นครพนม!J276"")"),100)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IFERROR(__xludf.DUMMYFUNCTION("IMPORTRANGE(""https://docs.google.com/spreadsheets/d/1XL5vhW3sbDhbH9Cz0tuDiY8C3ctxq1tqvaCgkFb8cCA/edit?usp=sharing"",""นครพนม!L277"")"),0)</f>
        <v>0</v>
      </c>
      <c r="M382" s="164"/>
      <c r="N382" s="164">
        <f ca="1">IFERROR(__xludf.DUMMYFUNCTION("IMPORTRANGE(""https://docs.google.com/spreadsheets/d/1XL5vhW3sbDhbH9Cz0tuDiY8C3ctxq1tqvaCgkFb8cCA/edit?usp=sharing"",""นครพนม!M277"")"),0)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IFERROR(__xludf.DUMMYFUNCTION("IMPORTRANGE(""https://docs.google.com/spreadsheets/d/1XL5vhW3sbDhbH9Cz0tuDiY8C3ctxq1tqvaCgkFb8cCA/edit?usp=sharing"",""นครพนม!L278"")"),1028520)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IFERROR(__xludf.DUMMYFUNCTION("IMPORTRANGE(""https://docs.google.com/spreadsheets/d/1XL5vhW3sbDhbH9Cz0tuDiY8C3ctxq1tqvaCgkFb8cCA/edit?usp=sharing"",""นครพนม!M278"")"),149188.65)</f>
        <v>149188.65</v>
      </c>
      <c r="O383" s="165">
        <f t="shared" ca="1" si="109"/>
        <v>14.505177342200444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IFERROR(__xludf.DUMMYFUNCTION("IMPORTRANGE(""https://docs.google.com/spreadsheets/d/1XL5vhW3sbDhbH9Cz0tuDiY8C3ctxq1tqvaCgkFb8cCA/edit?usp=sharing"",""นครพนม!L279"")"),0)</f>
        <v>0</v>
      </c>
      <c r="M384" s="169"/>
      <c r="N384" s="169">
        <f ca="1">IFERROR(__xludf.DUMMYFUNCTION("IMPORTRANGE(""https://docs.google.com/spreadsheets/d/1XL5vhW3sbDhbH9Cz0tuDiY8C3ctxq1tqvaCgkFb8cCA/edit?usp=sharing"",""นครพนม!M279"")"),0)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IFERROR(__xludf.DUMMYFUNCTION("IMPORTRANGE(""https://docs.google.com/spreadsheets/d/1XL5vhW3sbDhbH9Cz0tuDiY8C3ctxq1tqvaCgkFb8cCA/edit?usp=sharing"",""นครพนม!L280"")"),1028520)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IFERROR(__xludf.DUMMYFUNCTION("IMPORTRANGE(""https://docs.google.com/spreadsheets/d/1XL5vhW3sbDhbH9Cz0tuDiY8C3ctxq1tqvaCgkFb8cCA/edit?usp=sharing"",""นครพนม!M280"")"),149188.65)</f>
        <v>149188.65</v>
      </c>
      <c r="O385" s="169">
        <f t="shared" ca="1" si="109"/>
        <v>14.505177342200444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IFERROR(__xludf.DUMMYFUNCTION("IMPORTRANGE(""https://docs.google.com/spreadsheets/d/1XL5vhW3sbDhbH9Cz0tuDiY8C3ctxq1tqvaCgkFb8cCA/edit?usp=sharing"",""นครพนม!M281"")"),91822.13)</f>
        <v>91822.13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IFERROR(__xludf.DUMMYFUNCTION("IMPORTRANGE(""https://docs.google.com/spreadsheets/d/1XL5vhW3sbDhbH9Cz0tuDiY8C3ctxq1tqvaCgkFb8cCA/edit?usp=sharing"",""นครพนม!M282"")"),0)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IFERROR(__xludf.DUMMYFUNCTION("IMPORTRANGE(""https://docs.google.com/spreadsheets/d/1XL5vhW3sbDhbH9Cz0tuDiY8C3ctxq1tqvaCgkFb8cCA/edit?usp=sharing"",""นครพนม!M283"")"),51806.52)</f>
        <v>51806.52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IFERROR(__xludf.DUMMYFUNCTION("IMPORTRANGE(""https://docs.google.com/spreadsheets/d/1XL5vhW3sbDhbH9Cz0tuDiY8C3ctxq1tqvaCgkFb8cCA/edit?usp=sharing"",""นครพนม!M284"")"),5560)</f>
        <v>5560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IFERROR(__xludf.DUMMYFUNCTION("IMPORTRANGE(""https://docs.google.com/spreadsheets/d/1XL5vhW3sbDhbH9Cz0tuDiY8C3ctxq1tqvaCgkFb8cCA/edit?usp=sharing"",""นครพนม!J286"")"),0)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IFERROR(__xludf.DUMMYFUNCTION("IMPORTRANGE(""https://docs.google.com/spreadsheets/d/1XL5vhW3sbDhbH9Cz0tuDiY8C3ctxq1tqvaCgkFb8cCA/edit?usp=sharing"",""นครพนม!J287"")"),1)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IFERROR(__xludf.DUMMYFUNCTION("IMPORTRANGE(""https://docs.google.com/spreadsheets/d/1XL5vhW3sbDhbH9Cz0tuDiY8C3ctxq1tqvaCgkFb8cCA/edit?usp=sharing"",""นครพนม!J288"")"),1)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IFERROR(__xludf.DUMMYFUNCTION("IMPORTRANGE(""https://docs.google.com/spreadsheets/d/1XL5vhW3sbDhbH9Cz0tuDiY8C3ctxq1tqvaCgkFb8cCA/edit?usp=sharing"",""นครพนม!J289"")"),1)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IFERROR(__xludf.DUMMYFUNCTION("IMPORTRANGE(""https://docs.google.com/spreadsheets/d/1XL5vhW3sbDhbH9Cz0tuDiY8C3ctxq1tqvaCgkFb8cCA/edit?usp=sharing"",""นครพนม!I291"")"),100)</f>
        <v>100</v>
      </c>
      <c r="J396" s="198">
        <f ca="1">IFERROR(__xludf.DUMMYFUNCTION("IMPORTRANGE(""https://docs.google.com/spreadsheets/d/1XL5vhW3sbDhbH9Cz0tuDiY8C3ctxq1tqvaCgkFb8cCA/edit?usp=sharing"",""นครพนม!J291"")"),100)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IFERROR(__xludf.DUMMYFUNCTION("IMPORTRANGE(""https://docs.google.com/spreadsheets/d/1XL5vhW3sbDhbH9Cz0tuDiY8C3ctxq1tqvaCgkFb8cCA/edit?usp=sharing"",""นครพนม!I292"")"),1000)</f>
        <v>1000</v>
      </c>
      <c r="J397" s="198">
        <f ca="1">IFERROR(__xludf.DUMMYFUNCTION("IMPORTRANGE(""https://docs.google.com/spreadsheets/d/1XL5vhW3sbDhbH9Cz0tuDiY8C3ctxq1tqvaCgkFb8cCA/edit?usp=sharing"",""นครพนม!J292"")"),0)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IFERROR(__xludf.DUMMYFUNCTION("IMPORTRANGE(""https://docs.google.com/spreadsheets/d/1XL5vhW3sbDhbH9Cz0tuDiY8C3ctxq1tqvaCgkFb8cCA/edit?usp=sharing"",""นครพนม!I293"")"),100)</f>
        <v>100</v>
      </c>
      <c r="J398" s="198">
        <f ca="1">IFERROR(__xludf.DUMMYFUNCTION("IMPORTRANGE(""https://docs.google.com/spreadsheets/d/1XL5vhW3sbDhbH9Cz0tuDiY8C3ctxq1tqvaCgkFb8cCA/edit?usp=sharing"",""นครพนม!J293"")"),0)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IFERROR(__xludf.DUMMYFUNCTION("IMPORTRANGE(""https://docs.google.com/spreadsheets/d/1XL5vhW3sbDhbH9Cz0tuDiY8C3ctxq1tqvaCgkFb8cCA/edit?usp=sharing"",""นครพนม!J294"")"),0)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IFERROR(__xludf.DUMMYFUNCTION("IMPORTRANGE(""https://docs.google.com/spreadsheets/d/1XL5vhW3sbDhbH9Cz0tuDiY8C3ctxq1tqvaCgkFb8cCA/edit?usp=sharing"",""นครพนม!J295"")"),0)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IFERROR(__xludf.DUMMYFUNCTION("IMPORTRANGE(""https://docs.google.com/spreadsheets/d/1XL5vhW3sbDhbH9Cz0tuDiY8C3ctxq1tqvaCgkFb8cCA/edit?usp=sharing"",""นครพนม!I296"")"),120)</f>
        <v>120</v>
      </c>
      <c r="J401" s="371">
        <f ca="1">IFERROR(__xludf.DUMMYFUNCTION("IMPORTRANGE(""https://docs.google.com/spreadsheets/d/1XL5vhW3sbDhbH9Cz0tuDiY8C3ctxq1tqvaCgkFb8cCA/edit?usp=sharing"",""นครพนม!J296"")"),120)</f>
        <v>120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IFERROR(__xludf.DUMMYFUNCTION("IMPORTRANGE(""https://docs.google.com/spreadsheets/d/1XL5vhW3sbDhbH9Cz0tuDiY8C3ctxq1tqvaCgkFb8cCA/edit?usp=sharing"",""นครพนม!L296"")"),144560)</f>
        <v>144560</v>
      </c>
      <c r="M401" s="373"/>
      <c r="N401" s="373">
        <f ca="1">IFERROR(__xludf.DUMMYFUNCTION("IMPORTRANGE(""https://docs.google.com/spreadsheets/d/1XL5vhW3sbDhbH9Cz0tuDiY8C3ctxq1tqvaCgkFb8cCA/edit?usp=sharing"",""นครพนม!M296"")"),71275.8)</f>
        <v>71275.8</v>
      </c>
      <c r="O401" s="373">
        <f ca="1">+IF(L401&gt;0,N401*100/L401,0)</f>
        <v>49.305340343110124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IFERROR(__xludf.DUMMYFUNCTION("IMPORTRANGE(""https://docs.google.com/spreadsheets/d/1XL5vhW3sbDhbH9Cz0tuDiY8C3ctxq1tqvaCgkFb8cCA/edit?usp=sharing"",""นครพนม!I297"")"),40)</f>
        <v>40</v>
      </c>
      <c r="J402" s="371">
        <f ca="1">IFERROR(__xludf.DUMMYFUNCTION("IMPORTRANGE(""https://docs.google.com/spreadsheets/d/1XL5vhW3sbDhbH9Cz0tuDiY8C3ctxq1tqvaCgkFb8cCA/edit?usp=sharing"",""นครพนม!J297"")"),40)</f>
        <v>40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IFERROR(__xludf.DUMMYFUNCTION("IMPORTRANGE(""https://docs.google.com/spreadsheets/d/1XL5vhW3sbDhbH9Cz0tuDiY8C3ctxq1tqvaCgkFb8cCA/edit?usp=sharing"",""นครพนม!L298"")"),0)</f>
        <v>0</v>
      </c>
      <c r="M403" s="164"/>
      <c r="N403" s="169">
        <f ca="1">IFERROR(__xludf.DUMMYFUNCTION("IMPORTRANGE(""https://docs.google.com/spreadsheets/d/1XL5vhW3sbDhbH9Cz0tuDiY8C3ctxq1tqvaCgkFb8cCA/edit?usp=sharing"",""นครพนม!M298"")"),0)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IFERROR(__xludf.DUMMYFUNCTION("IMPORTRANGE(""https://docs.google.com/spreadsheets/d/1XL5vhW3sbDhbH9Cz0tuDiY8C3ctxq1tqvaCgkFb8cCA/edit?usp=sharing"",""นครพนม!L299"")"),144560)</f>
        <v>144560</v>
      </c>
      <c r="M404" s="165"/>
      <c r="N404" s="169">
        <f ca="1">IFERROR(__xludf.DUMMYFUNCTION("IMPORTRANGE(""https://docs.google.com/spreadsheets/d/1XL5vhW3sbDhbH9Cz0tuDiY8C3ctxq1tqvaCgkFb8cCA/edit?usp=sharing"",""นครพนม!M299"")"),71275.8)</f>
        <v>71275.8</v>
      </c>
      <c r="O404" s="169">
        <f t="shared" ca="1" si="112"/>
        <v>49.305340343110124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IFERROR(__xludf.DUMMYFUNCTION("IMPORTRANGE(""https://docs.google.com/spreadsheets/d/1XL5vhW3sbDhbH9Cz0tuDiY8C3ctxq1tqvaCgkFb8cCA/edit?usp=sharing"",""นครพนม!L300"")"),0)</f>
        <v>0</v>
      </c>
      <c r="M405" s="169"/>
      <c r="N405" s="169">
        <f ca="1">IFERROR(__xludf.DUMMYFUNCTION("IMPORTRANGE(""https://docs.google.com/spreadsheets/d/1XL5vhW3sbDhbH9Cz0tuDiY8C3ctxq1tqvaCgkFb8cCA/edit?usp=sharing"",""นครพนม!M300"")"),0)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IFERROR(__xludf.DUMMYFUNCTION("IMPORTRANGE(""https://docs.google.com/spreadsheets/d/1XL5vhW3sbDhbH9Cz0tuDiY8C3ctxq1tqvaCgkFb8cCA/edit?usp=sharing"",""นครพนม!L301"")"),144560)</f>
        <v>144560</v>
      </c>
      <c r="M406" s="169"/>
      <c r="N406" s="169">
        <f ca="1">IFERROR(__xludf.DUMMYFUNCTION("IMPORTRANGE(""https://docs.google.com/spreadsheets/d/1XL5vhW3sbDhbH9Cz0tuDiY8C3ctxq1tqvaCgkFb8cCA/edit?usp=sharing"",""นครพนม!M301"")"),71275.8)</f>
        <v>71275.8</v>
      </c>
      <c r="O406" s="169">
        <f t="shared" ca="1" si="112"/>
        <v>49.305340343110124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IFERROR(__xludf.DUMMYFUNCTION("IMPORTRANGE(""https://docs.google.com/spreadsheets/d/1XL5vhW3sbDhbH9Cz0tuDiY8C3ctxq1tqvaCgkFb8cCA/edit?usp=sharing"",""นครพนม!M302"")"),51475.8)</f>
        <v>51475.8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IFERROR(__xludf.DUMMYFUNCTION("IMPORTRANGE(""https://docs.google.com/spreadsheets/d/1XL5vhW3sbDhbH9Cz0tuDiY8C3ctxq1tqvaCgkFb8cCA/edit?usp=sharing"",""นครพนม!M303"")"),15000)</f>
        <v>15000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IFERROR(__xludf.DUMMYFUNCTION("IMPORTRANGE(""https://docs.google.com/spreadsheets/d/1XL5vhW3sbDhbH9Cz0tuDiY8C3ctxq1tqvaCgkFb8cCA/edit?usp=sharing"",""นครพนม!M304"")"),0)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IFERROR(__xludf.DUMMYFUNCTION("IMPORTRANGE(""https://docs.google.com/spreadsheets/d/1XL5vhW3sbDhbH9Cz0tuDiY8C3ctxq1tqvaCgkFb8cCA/edit?usp=sharing"",""นครพนม!M305"")"),4800)</f>
        <v>4800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IFERROR(__xludf.DUMMYFUNCTION("IMPORTRANGE(""https://docs.google.com/spreadsheets/d/1XL5vhW3sbDhbH9Cz0tuDiY8C3ctxq1tqvaCgkFb8cCA/edit?usp=sharing"",""นครพนม!J307"")"),0)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IFERROR(__xludf.DUMMYFUNCTION("IMPORTRANGE(""https://docs.google.com/spreadsheets/d/1XL5vhW3sbDhbH9Cz0tuDiY8C3ctxq1tqvaCgkFb8cCA/edit?usp=sharing"",""นครพนม!J308"")"),1)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IFERROR(__xludf.DUMMYFUNCTION("IMPORTRANGE(""https://docs.google.com/spreadsheets/d/1XL5vhW3sbDhbH9Cz0tuDiY8C3ctxq1tqvaCgkFb8cCA/edit?usp=sharing"",""นครพนม!J309"")"),1)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IFERROR(__xludf.DUMMYFUNCTION("IMPORTRANGE(""https://docs.google.com/spreadsheets/d/1XL5vhW3sbDhbH9Cz0tuDiY8C3ctxq1tqvaCgkFb8cCA/edit?usp=sharing"",""นครพนม!J310"")"),1)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IFERROR(__xludf.DUMMYFUNCTION("IMPORTRANGE(""https://docs.google.com/spreadsheets/d/1XL5vhW3sbDhbH9Cz0tuDiY8C3ctxq1tqvaCgkFb8cCA/edit?usp=sharing"",""นครพนม!I311"")"),40)</f>
        <v>40</v>
      </c>
      <c r="J416" s="201">
        <f ca="1">IFERROR(__xludf.DUMMYFUNCTION("IMPORTRANGE(""https://docs.google.com/spreadsheets/d/1XL5vhW3sbDhbH9Cz0tuDiY8C3ctxq1tqvaCgkFb8cCA/edit?usp=sharing"",""นครพนม!J311"")"),40)</f>
        <v>40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IFERROR(__xludf.DUMMYFUNCTION("IMPORTRANGE(""https://docs.google.com/spreadsheets/d/1XL5vhW3sbDhbH9Cz0tuDiY8C3ctxq1tqvaCgkFb8cCA/edit?usp=sharing"",""นครพนม!I312"")"),10)</f>
        <v>10</v>
      </c>
      <c r="J417" s="392">
        <f ca="1">IFERROR(__xludf.DUMMYFUNCTION("IMPORTRANGE(""https://docs.google.com/spreadsheets/d/1XL5vhW3sbDhbH9Cz0tuDiY8C3ctxq1tqvaCgkFb8cCA/edit?usp=sharing"",""นครพนม!J312"")"),10)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IFERROR(__xludf.DUMMYFUNCTION("IMPORTRANGE(""https://docs.google.com/spreadsheets/d/1XL5vhW3sbDhbH9Cz0tuDiY8C3ctxq1tqvaCgkFb8cCA/edit?usp=sharing"",""นครพนม!I313"")"),30)</f>
        <v>30</v>
      </c>
      <c r="J418" s="393">
        <f ca="1">IFERROR(__xludf.DUMMYFUNCTION("IMPORTRANGE(""https://docs.google.com/spreadsheets/d/1XL5vhW3sbDhbH9Cz0tuDiY8C3ctxq1tqvaCgkFb8cCA/edit?usp=sharing"",""นครพนม!J313"")"),30)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IFERROR(__xludf.DUMMYFUNCTION("IMPORTRANGE(""https://docs.google.com/spreadsheets/d/1XL5vhW3sbDhbH9Cz0tuDiY8C3ctxq1tqvaCgkFb8cCA/edit?usp=sharing"",""นครพนม!I314"")"),10)</f>
        <v>10</v>
      </c>
      <c r="J419" s="394">
        <f ca="1">IFERROR(__xludf.DUMMYFUNCTION("IMPORTRANGE(""https://docs.google.com/spreadsheets/d/1XL5vhW3sbDhbH9Cz0tuDiY8C3ctxq1tqvaCgkFb8cCA/edit?usp=sharing"",""นครพนม!J314"")"),10)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IFERROR(__xludf.DUMMYFUNCTION("IMPORTRANGE(""https://docs.google.com/spreadsheets/d/1XL5vhW3sbDhbH9Cz0tuDiY8C3ctxq1tqvaCgkFb8cCA/edit?usp=sharing"",""นครพนม!I315"")"),10)</f>
        <v>10</v>
      </c>
      <c r="J420" s="394">
        <f ca="1">IFERROR(__xludf.DUMMYFUNCTION("IMPORTRANGE(""https://docs.google.com/spreadsheets/d/1XL5vhW3sbDhbH9Cz0tuDiY8C3ctxq1tqvaCgkFb8cCA/edit?usp=sharing"",""นครพนม!J315"")"),10)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IFERROR(__xludf.DUMMYFUNCTION("IMPORTRANGE(""https://docs.google.com/spreadsheets/d/1XL5vhW3sbDhbH9Cz0tuDiY8C3ctxq1tqvaCgkFb8cCA/edit?usp=sharing"",""นครพนม!I316"")"),20)</f>
        <v>20</v>
      </c>
      <c r="J421" s="392">
        <f ca="1">IFERROR(__xludf.DUMMYFUNCTION("IMPORTRANGE(""https://docs.google.com/spreadsheets/d/1XL5vhW3sbDhbH9Cz0tuDiY8C3ctxq1tqvaCgkFb8cCA/edit?usp=sharing"",""นครพนม!J316"")"),20)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IFERROR(__xludf.DUMMYFUNCTION("IMPORTRANGE(""https://docs.google.com/spreadsheets/d/1XL5vhW3sbDhbH9Cz0tuDiY8C3ctxq1tqvaCgkFb8cCA/edit?usp=sharing"",""นครพนม!I317"")"),60)</f>
        <v>60</v>
      </c>
      <c r="J422" s="393">
        <f ca="1">IFERROR(__xludf.DUMMYFUNCTION("IMPORTRANGE(""https://docs.google.com/spreadsheets/d/1XL5vhW3sbDhbH9Cz0tuDiY8C3ctxq1tqvaCgkFb8cCA/edit?usp=sharing"",""นครพนม!J317"")"),60)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IFERROR(__xludf.DUMMYFUNCTION("IMPORTRANGE(""https://docs.google.com/spreadsheets/d/1XL5vhW3sbDhbH9Cz0tuDiY8C3ctxq1tqvaCgkFb8cCA/edit?usp=sharing"",""นครพนม!I318"")"),20)</f>
        <v>20</v>
      </c>
      <c r="J423" s="394">
        <f ca="1">IFERROR(__xludf.DUMMYFUNCTION("IMPORTRANGE(""https://docs.google.com/spreadsheets/d/1XL5vhW3sbDhbH9Cz0tuDiY8C3ctxq1tqvaCgkFb8cCA/edit?usp=sharing"",""นครพนม!J318"")"),20)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IFERROR(__xludf.DUMMYFUNCTION("IMPORTRANGE(""https://docs.google.com/spreadsheets/d/1XL5vhW3sbDhbH9Cz0tuDiY8C3ctxq1tqvaCgkFb8cCA/edit?usp=sharing"",""นครพนม!I319"")"),20)</f>
        <v>20</v>
      </c>
      <c r="J424" s="394">
        <f ca="1">IFERROR(__xludf.DUMMYFUNCTION("IMPORTRANGE(""https://docs.google.com/spreadsheets/d/1XL5vhW3sbDhbH9Cz0tuDiY8C3ctxq1tqvaCgkFb8cCA/edit?usp=sharing"",""นครพนม!J319"")"),20)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IFERROR(__xludf.DUMMYFUNCTION("IMPORTRANGE(""https://docs.google.com/spreadsheets/d/1XL5vhW3sbDhbH9Cz0tuDiY8C3ctxq1tqvaCgkFb8cCA/edit?usp=sharing"",""นครพนม!I320"")"),20)</f>
        <v>20</v>
      </c>
      <c r="J425" s="394">
        <f ca="1">IFERROR(__xludf.DUMMYFUNCTION("IMPORTRANGE(""https://docs.google.com/spreadsheets/d/1XL5vhW3sbDhbH9Cz0tuDiY8C3ctxq1tqvaCgkFb8cCA/edit?usp=sharing"",""นครพนม!J320"")"),20)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IFERROR(__xludf.DUMMYFUNCTION("IMPORTRANGE(""https://docs.google.com/spreadsheets/d/1XL5vhW3sbDhbH9Cz0tuDiY8C3ctxq1tqvaCgkFb8cCA/edit?usp=sharing"",""นครพนม!I321"")"),10)</f>
        <v>10</v>
      </c>
      <c r="J426" s="392">
        <f ca="1">IFERROR(__xludf.DUMMYFUNCTION("IMPORTRANGE(""https://docs.google.com/spreadsheets/d/1XL5vhW3sbDhbH9Cz0tuDiY8C3ctxq1tqvaCgkFb8cCA/edit?usp=sharing"",""นครพนม!J321"")"),10)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IFERROR(__xludf.DUMMYFUNCTION("IMPORTRANGE(""https://docs.google.com/spreadsheets/d/1XL5vhW3sbDhbH9Cz0tuDiY8C3ctxq1tqvaCgkFb8cCA/edit?usp=sharing"",""นครพนม!I322"")"),30)</f>
        <v>30</v>
      </c>
      <c r="J427" s="393">
        <f ca="1">IFERROR(__xludf.DUMMYFUNCTION("IMPORTRANGE(""https://docs.google.com/spreadsheets/d/1XL5vhW3sbDhbH9Cz0tuDiY8C3ctxq1tqvaCgkFb8cCA/edit?usp=sharing"",""นครพนม!J322"")"),30)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IFERROR(__xludf.DUMMYFUNCTION("IMPORTRANGE(""https://docs.google.com/spreadsheets/d/1XL5vhW3sbDhbH9Cz0tuDiY8C3ctxq1tqvaCgkFb8cCA/edit?usp=sharing"",""นครพนม!I323"")"),10)</f>
        <v>10</v>
      </c>
      <c r="J428" s="394">
        <f ca="1">IFERROR(__xludf.DUMMYFUNCTION("IMPORTRANGE(""https://docs.google.com/spreadsheets/d/1XL5vhW3sbDhbH9Cz0tuDiY8C3ctxq1tqvaCgkFb8cCA/edit?usp=sharing"",""นครพนม!J323"")"),10)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IFERROR(__xludf.DUMMYFUNCTION("IMPORTRANGE(""https://docs.google.com/spreadsheets/d/1XL5vhW3sbDhbH9Cz0tuDiY8C3ctxq1tqvaCgkFb8cCA/edit?usp=sharing"",""นครพนม!I324"")"),10)</f>
        <v>10</v>
      </c>
      <c r="J429" s="394">
        <f ca="1">IFERROR(__xludf.DUMMYFUNCTION("IMPORTRANGE(""https://docs.google.com/spreadsheets/d/1XL5vhW3sbDhbH9Cz0tuDiY8C3ctxq1tqvaCgkFb8cCA/edit?usp=sharing"",""นครพนม!J324"")"),10)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IFERROR(__xludf.DUMMYFUNCTION("IMPORTRANGE(""https://docs.google.com/spreadsheets/d/1XL5vhW3sbDhbH9Cz0tuDiY8C3ctxq1tqvaCgkFb8cCA/edit?usp=sharing"",""นครพนม!I325"")"),30)</f>
        <v>30</v>
      </c>
      <c r="J430" s="392">
        <f ca="1">IFERROR(__xludf.DUMMYFUNCTION("IMPORTRANGE(""https://docs.google.com/spreadsheets/d/1XL5vhW3sbDhbH9Cz0tuDiY8C3ctxq1tqvaCgkFb8cCA/edit?usp=sharing"",""นครพนม!J325"")"),0)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IFERROR(__xludf.DUMMYFUNCTION("IMPORTRANGE(""https://docs.google.com/spreadsheets/d/1XL5vhW3sbDhbH9Cz0tuDiY8C3ctxq1tqvaCgkFb8cCA/edit?usp=sharing"",""นครพนม!I326"")"),10)</f>
        <v>10</v>
      </c>
      <c r="J431" s="394">
        <f ca="1">IFERROR(__xludf.DUMMYFUNCTION("IMPORTRANGE(""https://docs.google.com/spreadsheets/d/1XL5vhW3sbDhbH9Cz0tuDiY8C3ctxq1tqvaCgkFb8cCA/edit?usp=sharing"",""นครพนม!J326"")"),10)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IFERROR(__xludf.DUMMYFUNCTION("IMPORTRANGE(""https://docs.google.com/spreadsheets/d/1XL5vhW3sbDhbH9Cz0tuDiY8C3ctxq1tqvaCgkFb8cCA/edit?usp=sharing"",""นครพนม!I327"")"),20)</f>
        <v>20</v>
      </c>
      <c r="J432" s="394">
        <f ca="1">IFERROR(__xludf.DUMMYFUNCTION("IMPORTRANGE(""https://docs.google.com/spreadsheets/d/1XL5vhW3sbDhbH9Cz0tuDiY8C3ctxq1tqvaCgkFb8cCA/edit?usp=sharing"",""นครพนม!J327"")"),0)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IFERROR(__xludf.DUMMYFUNCTION("IMPORTRANGE(""https://docs.google.com/spreadsheets/d/1XL5vhW3sbDhbH9Cz0tuDiY8C3ctxq1tqvaCgkFb8cCA/edit?usp=sharing"",""นครพนม!J328"")"),0)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IFERROR(__xludf.DUMMYFUNCTION("IMPORTRANGE(""https://docs.google.com/spreadsheets/d/1XL5vhW3sbDhbH9Cz0tuDiY8C3ctxq1tqvaCgkFb8cCA/edit?usp=sharing"",""นครพนม!J329"")"),0)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IFERROR(__xludf.DUMMYFUNCTION("IMPORTRANGE(""https://docs.google.com/spreadsheets/d/1XL5vhW3sbDhbH9Cz0tuDiY8C3ctxq1tqvaCgkFb8cCA/edit?usp=sharing"",""นครพนม!I330"")"),25)</f>
        <v>25</v>
      </c>
      <c r="J435" s="410">
        <f ca="1">IFERROR(__xludf.DUMMYFUNCTION("IMPORTRANGE(""https://docs.google.com/spreadsheets/d/1XL5vhW3sbDhbH9Cz0tuDiY8C3ctxq1tqvaCgkFb8cCA/edit?usp=sharing"",""นครพนม!J330"")"),0)</f>
        <v>0</v>
      </c>
      <c r="K435" s="411">
        <f ca="1">IF(I435&gt;0,J435*100/I435,0)</f>
        <v>0</v>
      </c>
      <c r="L435" s="412">
        <f ca="1">IFERROR(__xludf.DUMMYFUNCTION("IMPORTRANGE(""https://docs.google.com/spreadsheets/d/1XL5vhW3sbDhbH9Cz0tuDiY8C3ctxq1tqvaCgkFb8cCA/edit?usp=sharing"",""นครพนม!L330"")"),110500)</f>
        <v>110500</v>
      </c>
      <c r="M435" s="412"/>
      <c r="N435" s="412">
        <f ca="1">IFERROR(__xludf.DUMMYFUNCTION("IMPORTRANGE(""https://docs.google.com/spreadsheets/d/1XL5vhW3sbDhbH9Cz0tuDiY8C3ctxq1tqvaCgkFb8cCA/edit?usp=sharing"",""นครพนม!M330"")"),5417.65)</f>
        <v>5417.65</v>
      </c>
      <c r="O435" s="412">
        <f t="shared" ref="O435:O439" ca="1" si="114">+IF(L435&gt;0,N435*100/L435,0)</f>
        <v>4.9028506787330315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IFERROR(__xludf.DUMMYFUNCTION("IMPORTRANGE(""https://docs.google.com/spreadsheets/d/1XL5vhW3sbDhbH9Cz0tuDiY8C3ctxq1tqvaCgkFb8cCA/edit?usp=sharing"",""นครพนม!L331"")"),0)</f>
        <v>0</v>
      </c>
      <c r="M436" s="164"/>
      <c r="N436" s="169">
        <f ca="1">IFERROR(__xludf.DUMMYFUNCTION("IMPORTRANGE(""https://docs.google.com/spreadsheets/d/1XL5vhW3sbDhbH9Cz0tuDiY8C3ctxq1tqvaCgkFb8cCA/edit?usp=sharing"",""นครพนม!M331"")"),0)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IFERROR(__xludf.DUMMYFUNCTION("IMPORTRANGE(""https://docs.google.com/spreadsheets/d/1XL5vhW3sbDhbH9Cz0tuDiY8C3ctxq1tqvaCgkFb8cCA/edit?usp=sharing"",""นครพนม!L332"")"),110500)</f>
        <v>110500</v>
      </c>
      <c r="M437" s="165"/>
      <c r="N437" s="169">
        <f ca="1">IFERROR(__xludf.DUMMYFUNCTION("IMPORTRANGE(""https://docs.google.com/spreadsheets/d/1XL5vhW3sbDhbH9Cz0tuDiY8C3ctxq1tqvaCgkFb8cCA/edit?usp=sharing"",""นครพนม!M332"")"),5417.65)</f>
        <v>5417.65</v>
      </c>
      <c r="O437" s="169">
        <f t="shared" ca="1" si="114"/>
        <v>4.9028506787330315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IFERROR(__xludf.DUMMYFUNCTION("IMPORTRANGE(""https://docs.google.com/spreadsheets/d/1XL5vhW3sbDhbH9Cz0tuDiY8C3ctxq1tqvaCgkFb8cCA/edit?usp=sharing"",""นครพนม!L333"")"),0)</f>
        <v>0</v>
      </c>
      <c r="M438" s="169"/>
      <c r="N438" s="169">
        <f ca="1">IFERROR(__xludf.DUMMYFUNCTION("IMPORTRANGE(""https://docs.google.com/spreadsheets/d/1XL5vhW3sbDhbH9Cz0tuDiY8C3ctxq1tqvaCgkFb8cCA/edit?usp=sharing"",""นครพนม!M333"")"),0)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IFERROR(__xludf.DUMMYFUNCTION("IMPORTRANGE(""https://docs.google.com/spreadsheets/d/1XL5vhW3sbDhbH9Cz0tuDiY8C3ctxq1tqvaCgkFb8cCA/edit?usp=sharing"",""นครพนม!L334"")"),110500)</f>
        <v>110500</v>
      </c>
      <c r="M439" s="169"/>
      <c r="N439" s="169">
        <f ca="1">IFERROR(__xludf.DUMMYFUNCTION("IMPORTRANGE(""https://docs.google.com/spreadsheets/d/1XL5vhW3sbDhbH9Cz0tuDiY8C3ctxq1tqvaCgkFb8cCA/edit?usp=sharing"",""นครพนม!M334"")"),5417.65)</f>
        <v>5417.65</v>
      </c>
      <c r="O439" s="169">
        <f t="shared" ca="1" si="114"/>
        <v>4.9028506787330315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IFERROR(__xludf.DUMMYFUNCTION("IMPORTRANGE(""https://docs.google.com/spreadsheets/d/1XL5vhW3sbDhbH9Cz0tuDiY8C3ctxq1tqvaCgkFb8cCA/edit?usp=sharing"",""นครพนม!M335"")"),5417.65)</f>
        <v>5417.65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IFERROR(__xludf.DUMMYFUNCTION("IMPORTRANGE(""https://docs.google.com/spreadsheets/d/1XL5vhW3sbDhbH9Cz0tuDiY8C3ctxq1tqvaCgkFb8cCA/edit?usp=sharing"",""นครพนม!M336"")"),0)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IFERROR(__xludf.DUMMYFUNCTION("IMPORTRANGE(""https://docs.google.com/spreadsheets/d/1XL5vhW3sbDhbH9Cz0tuDiY8C3ctxq1tqvaCgkFb8cCA/edit?usp=sharing"",""นครพนม!M337"")"),0)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IFERROR(__xludf.DUMMYFUNCTION("IMPORTRANGE(""https://docs.google.com/spreadsheets/d/1XL5vhW3sbDhbH9Cz0tuDiY8C3ctxq1tqvaCgkFb8cCA/edit?usp=sharing"",""นครพนม!M338"")"),0)</f>
        <v>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IFERROR(__xludf.DUMMYFUNCTION("IMPORTRANGE(""https://docs.google.com/spreadsheets/d/1XL5vhW3sbDhbH9Cz0tuDiY8C3ctxq1tqvaCgkFb8cCA/edit?usp=sharing"",""นครพนม!J340"")"),0)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IFERROR(__xludf.DUMMYFUNCTION("IMPORTRANGE(""https://docs.google.com/spreadsheets/d/1XL5vhW3sbDhbH9Cz0tuDiY8C3ctxq1tqvaCgkFb8cCA/edit?usp=sharing"",""นครพนม!J341"")"),1)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IFERROR(__xludf.DUMMYFUNCTION("IMPORTRANGE(""https://docs.google.com/spreadsheets/d/1XL5vhW3sbDhbH9Cz0tuDiY8C3ctxq1tqvaCgkFb8cCA/edit?usp=sharing"",""นครพนม!J342"")"),1)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IFERROR(__xludf.DUMMYFUNCTION("IMPORTRANGE(""https://docs.google.com/spreadsheets/d/1XL5vhW3sbDhbH9Cz0tuDiY8C3ctxq1tqvaCgkFb8cCA/edit?usp=sharing"",""นครพนม!J343"")"),0)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IFERROR(__xludf.DUMMYFUNCTION("IMPORTRANGE(""https://docs.google.com/spreadsheets/d/1XL5vhW3sbDhbH9Cz0tuDiY8C3ctxq1tqvaCgkFb8cCA/edit?usp=sharing"",""นครพนม!I344"")"),25)</f>
        <v>25</v>
      </c>
      <c r="J449" s="201">
        <f ca="1">IFERROR(__xludf.DUMMYFUNCTION("IMPORTRANGE(""https://docs.google.com/spreadsheets/d/1XL5vhW3sbDhbH9Cz0tuDiY8C3ctxq1tqvaCgkFb8cCA/edit?usp=sharing"",""นครพนม!J344"")"),0)</f>
        <v>0</v>
      </c>
      <c r="K449" s="163">
        <f t="shared" ref="K449:K452" ca="1" si="115">IF(I449&gt;0,J449*100/I449,0)</f>
        <v>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IFERROR(__xludf.DUMMYFUNCTION("IMPORTRANGE(""https://docs.google.com/spreadsheets/d/1XL5vhW3sbDhbH9Cz0tuDiY8C3ctxq1tqvaCgkFb8cCA/edit?usp=sharing"",""นครพนม!I345"")"),25)</f>
        <v>25</v>
      </c>
      <c r="J450" s="189">
        <f ca="1">IFERROR(__xludf.DUMMYFUNCTION("IMPORTRANGE(""https://docs.google.com/spreadsheets/d/1XL5vhW3sbDhbH9Cz0tuDiY8C3ctxq1tqvaCgkFb8cCA/edit?usp=sharing"",""นครพนม!J345"")"),0)</f>
        <v>0</v>
      </c>
      <c r="K450" s="163">
        <f t="shared" ca="1" si="115"/>
        <v>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IFERROR(__xludf.DUMMYFUNCTION("IMPORTRANGE(""https://docs.google.com/spreadsheets/d/1XL5vhW3sbDhbH9Cz0tuDiY8C3ctxq1tqvaCgkFb8cCA/edit?usp=sharing"",""นครพนม!I346"")"),0)</f>
        <v>0</v>
      </c>
      <c r="J451" s="188">
        <f ca="1">IFERROR(__xludf.DUMMYFUNCTION("IMPORTRANGE(""https://docs.google.com/spreadsheets/d/1XL5vhW3sbDhbH9Cz0tuDiY8C3ctxq1tqvaCgkFb8cCA/edit?usp=sharing"",""นครพนม!J346"")"),0)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IFERROR(__xludf.DUMMYFUNCTION("IMPORTRANGE(""https://docs.google.com/spreadsheets/d/1XL5vhW3sbDhbH9Cz0tuDiY8C3ctxq1tqvaCgkFb8cCA/edit?usp=sharing"",""นครพนม!I347"")"),0)</f>
        <v>0</v>
      </c>
      <c r="J452" s="188">
        <f ca="1">IFERROR(__xludf.DUMMYFUNCTION("IMPORTRANGE(""https://docs.google.com/spreadsheets/d/1XL5vhW3sbDhbH9Cz0tuDiY8C3ctxq1tqvaCgkFb8cCA/edit?usp=sharing"",""นครพนม!J347"")"),0)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IFERROR(__xludf.DUMMYFUNCTION("IMPORTRANGE(""https://docs.google.com/spreadsheets/d/1XL5vhW3sbDhbH9Cz0tuDiY8C3ctxq1tqvaCgkFb8cCA/edit?usp=sharing"",""นครพนม!J348"")"),0)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IFERROR(__xludf.DUMMYFUNCTION("IMPORTRANGE(""https://docs.google.com/spreadsheets/d/1XL5vhW3sbDhbH9Cz0tuDiY8C3ctxq1tqvaCgkFb8cCA/edit?usp=sharing"",""นครพนม!J349"")"),0)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IFERROR(__xludf.DUMMYFUNCTION("IMPORTRANGE(""https://docs.google.com/spreadsheets/d/1XL5vhW3sbDhbH9Cz0tuDiY8C3ctxq1tqvaCgkFb8cCA/edit?usp=sharing"",""นครพนม!I350"")"),29744)</f>
        <v>29744</v>
      </c>
      <c r="J455" s="371">
        <f ca="1">IFERROR(__xludf.DUMMYFUNCTION("IMPORTRANGE(""https://docs.google.com/spreadsheets/d/1XL5vhW3sbDhbH9Cz0tuDiY8C3ctxq1tqvaCgkFb8cCA/edit?usp=sharing"",""นครพนม!J350"")"),24858)</f>
        <v>24858</v>
      </c>
      <c r="K455" s="372">
        <f ca="1">IF(I455&gt;0,J455*100/I455,0)</f>
        <v>83.573157611619152</v>
      </c>
      <c r="L455" s="373">
        <f ca="1">IFERROR(__xludf.DUMMYFUNCTION("IMPORTRANGE(""https://docs.google.com/spreadsheets/d/1XL5vhW3sbDhbH9Cz0tuDiY8C3ctxq1tqvaCgkFb8cCA/edit?usp=sharing"",""นครพนม!L350"")"),273699)</f>
        <v>273699</v>
      </c>
      <c r="M455" s="373"/>
      <c r="N455" s="373">
        <f ca="1">IFERROR(__xludf.DUMMYFUNCTION("IMPORTRANGE(""https://docs.google.com/spreadsheets/d/1XL5vhW3sbDhbH9Cz0tuDiY8C3ctxq1tqvaCgkFb8cCA/edit?usp=sharing"",""นครพนม!M350"")"),65330)</f>
        <v>65330</v>
      </c>
      <c r="O455" s="373">
        <f t="shared" ref="O455:O459" ca="1" si="116">+IF(L455&gt;0,N455*100/L455,0)</f>
        <v>23.869287063525991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IFERROR(__xludf.DUMMYFUNCTION("IMPORTRANGE(""https://docs.google.com/spreadsheets/d/1XL5vhW3sbDhbH9Cz0tuDiY8C3ctxq1tqvaCgkFb8cCA/edit?usp=sharing"",""นครพนม!L351"")"),0)</f>
        <v>0</v>
      </c>
      <c r="M456" s="164"/>
      <c r="N456" s="169">
        <f ca="1">IFERROR(__xludf.DUMMYFUNCTION("IMPORTRANGE(""https://docs.google.com/spreadsheets/d/1XL5vhW3sbDhbH9Cz0tuDiY8C3ctxq1tqvaCgkFb8cCA/edit?usp=sharing"",""นครพนม!M351"")"),0)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IFERROR(__xludf.DUMMYFUNCTION("IMPORTRANGE(""https://docs.google.com/spreadsheets/d/1XL5vhW3sbDhbH9Cz0tuDiY8C3ctxq1tqvaCgkFb8cCA/edit?usp=sharing"",""นครพนม!L352"")"),273699)</f>
        <v>273699</v>
      </c>
      <c r="M457" s="165"/>
      <c r="N457" s="169">
        <f ca="1">IFERROR(__xludf.DUMMYFUNCTION("IMPORTRANGE(""https://docs.google.com/spreadsheets/d/1XL5vhW3sbDhbH9Cz0tuDiY8C3ctxq1tqvaCgkFb8cCA/edit?usp=sharing"",""นครพนม!M352"")"),65330)</f>
        <v>65330</v>
      </c>
      <c r="O457" s="169">
        <f t="shared" ca="1" si="116"/>
        <v>23.869287063525991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IFERROR(__xludf.DUMMYFUNCTION("IMPORTRANGE(""https://docs.google.com/spreadsheets/d/1XL5vhW3sbDhbH9Cz0tuDiY8C3ctxq1tqvaCgkFb8cCA/edit?usp=sharing"",""นครพนม!L353"")"),0)</f>
        <v>0</v>
      </c>
      <c r="M458" s="169"/>
      <c r="N458" s="169">
        <f ca="1">IFERROR(__xludf.DUMMYFUNCTION("IMPORTRANGE(""https://docs.google.com/spreadsheets/d/1XL5vhW3sbDhbH9Cz0tuDiY8C3ctxq1tqvaCgkFb8cCA/edit?usp=sharing"",""นครพนม!M353"")"),0)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IFERROR(__xludf.DUMMYFUNCTION("IMPORTRANGE(""https://docs.google.com/spreadsheets/d/1XL5vhW3sbDhbH9Cz0tuDiY8C3ctxq1tqvaCgkFb8cCA/edit?usp=sharing"",""นครพนม!L354"")"),273699)</f>
        <v>273699</v>
      </c>
      <c r="M459" s="169"/>
      <c r="N459" s="169">
        <f ca="1">IFERROR(__xludf.DUMMYFUNCTION("IMPORTRANGE(""https://docs.google.com/spreadsheets/d/1XL5vhW3sbDhbH9Cz0tuDiY8C3ctxq1tqvaCgkFb8cCA/edit?usp=sharing"",""นครพนม!M354"")"),65330)</f>
        <v>65330</v>
      </c>
      <c r="O459" s="169">
        <f t="shared" ca="1" si="116"/>
        <v>23.869287063525991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IFERROR(__xludf.DUMMYFUNCTION("IMPORTRANGE(""https://docs.google.com/spreadsheets/d/1XL5vhW3sbDhbH9Cz0tuDiY8C3ctxq1tqvaCgkFb8cCA/edit?usp=sharing"",""นครพนม!M355"")"),0)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IFERROR(__xludf.DUMMYFUNCTION("IMPORTRANGE(""https://docs.google.com/spreadsheets/d/1XL5vhW3sbDhbH9Cz0tuDiY8C3ctxq1tqvaCgkFb8cCA/edit?usp=sharing"",""นครพนม!M356"")"),0)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IFERROR(__xludf.DUMMYFUNCTION("IMPORTRANGE(""https://docs.google.com/spreadsheets/d/1XL5vhW3sbDhbH9Cz0tuDiY8C3ctxq1tqvaCgkFb8cCA/edit?usp=sharing"",""นครพนม!M357"")"),0)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IFERROR(__xludf.DUMMYFUNCTION("IMPORTRANGE(""https://docs.google.com/spreadsheets/d/1XL5vhW3sbDhbH9Cz0tuDiY8C3ctxq1tqvaCgkFb8cCA/edit?usp=sharing"",""นครพนม!M358"")"),65330)</f>
        <v>65330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IFERROR(__xludf.DUMMYFUNCTION("IMPORTRANGE(""https://docs.google.com/spreadsheets/d/1XL5vhW3sbDhbH9Cz0tuDiY8C3ctxq1tqvaCgkFb8cCA/edit?usp=sharing"",""นครพนม!I359"")"),29744)</f>
        <v>29744</v>
      </c>
      <c r="J464" s="267">
        <f ca="1">IFERROR(__xludf.DUMMYFUNCTION("IMPORTRANGE(""https://docs.google.com/spreadsheets/d/1XL5vhW3sbDhbH9Cz0tuDiY8C3ctxq1tqvaCgkFb8cCA/edit?usp=sharing"",""นครพนม!J359"")"),24858)</f>
        <v>24858</v>
      </c>
      <c r="K464" s="268">
        <f t="shared" ref="K464:K515" ca="1" si="117">IF(I464&gt;0,J464*100/I464,0)</f>
        <v>83.573157611619152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IFERROR(__xludf.DUMMYFUNCTION("IMPORTRANGE(""https://docs.google.com/spreadsheets/d/1XL5vhW3sbDhbH9Cz0tuDiY8C3ctxq1tqvaCgkFb8cCA/edit?usp=sharing"",""นครพนม!I360"")"),29744)</f>
        <v>29744</v>
      </c>
      <c r="J465" s="420">
        <f ca="1">IFERROR(__xludf.DUMMYFUNCTION("IMPORTRANGE(""https://docs.google.com/spreadsheets/d/1XL5vhW3sbDhbH9Cz0tuDiY8C3ctxq1tqvaCgkFb8cCA/edit?usp=sharing"",""นครพนม!J360"")"),29745)</f>
        <v>29745</v>
      </c>
      <c r="K465" s="202">
        <f t="shared" ca="1" si="117"/>
        <v>100.0033620225928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IFERROR(__xludf.DUMMYFUNCTION("IMPORTRANGE(""https://docs.google.com/spreadsheets/d/1XL5vhW3sbDhbH9Cz0tuDiY8C3ctxq1tqvaCgkFb8cCA/edit?usp=sharing"",""นครพนม!I361"")"),2630)</f>
        <v>2630</v>
      </c>
      <c r="J466" s="420">
        <f ca="1">IFERROR(__xludf.DUMMYFUNCTION("IMPORTRANGE(""https://docs.google.com/spreadsheets/d/1XL5vhW3sbDhbH9Cz0tuDiY8C3ctxq1tqvaCgkFb8cCA/edit?usp=sharing"",""นครพนม!J361"")"),2630)</f>
        <v>2630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IFERROR(__xludf.DUMMYFUNCTION("IMPORTRANGE(""https://docs.google.com/spreadsheets/d/1XL5vhW3sbDhbH9Cz0tuDiY8C3ctxq1tqvaCgkFb8cCA/edit?usp=sharing"",""นครพนม!I362"")"),0)</f>
        <v>0</v>
      </c>
      <c r="J467" s="189">
        <f ca="1">IFERROR(__xludf.DUMMYFUNCTION("IMPORTRANGE(""https://docs.google.com/spreadsheets/d/1XL5vhW3sbDhbH9Cz0tuDiY8C3ctxq1tqvaCgkFb8cCA/edit?usp=sharing"",""นครพนม!J362"")"),24858)</f>
        <v>24858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IFERROR(__xludf.DUMMYFUNCTION("IMPORTRANGE(""https://docs.google.com/spreadsheets/d/1XL5vhW3sbDhbH9Cz0tuDiY8C3ctxq1tqvaCgkFb8cCA/edit?usp=sharing"",""นครพนม!I363"")"),0)</f>
        <v>0</v>
      </c>
      <c r="J468" s="189">
        <f ca="1">IFERROR(__xludf.DUMMYFUNCTION("IMPORTRANGE(""https://docs.google.com/spreadsheets/d/1XL5vhW3sbDhbH9Cz0tuDiY8C3ctxq1tqvaCgkFb8cCA/edit?usp=sharing"",""นครพนม!J363"")"),2246)</f>
        <v>2246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IFERROR(__xludf.DUMMYFUNCTION("IMPORTRANGE(""https://docs.google.com/spreadsheets/d/1XL5vhW3sbDhbH9Cz0tuDiY8C3ctxq1tqvaCgkFb8cCA/edit?usp=sharing"",""นครพนม!I364"")"),0)</f>
        <v>0</v>
      </c>
      <c r="J469" s="189">
        <f ca="1">IFERROR(__xludf.DUMMYFUNCTION("IMPORTRANGE(""https://docs.google.com/spreadsheets/d/1XL5vhW3sbDhbH9Cz0tuDiY8C3ctxq1tqvaCgkFb8cCA/edit?usp=sharing"",""นครพนม!J364"")"),4457)</f>
        <v>4457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IFERROR(__xludf.DUMMYFUNCTION("IMPORTRANGE(""https://docs.google.com/spreadsheets/d/1XL5vhW3sbDhbH9Cz0tuDiY8C3ctxq1tqvaCgkFb8cCA/edit?usp=sharing"",""นครพนม!I365"")"),0)</f>
        <v>0</v>
      </c>
      <c r="J470" s="189">
        <f ca="1">IFERROR(__xludf.DUMMYFUNCTION("IMPORTRANGE(""https://docs.google.com/spreadsheets/d/1XL5vhW3sbDhbH9Cz0tuDiY8C3ctxq1tqvaCgkFb8cCA/edit?usp=sharing"",""นครพนม!J365"")"),347)</f>
        <v>347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IFERROR(__xludf.DUMMYFUNCTION("IMPORTRANGE(""https://docs.google.com/spreadsheets/d/1XL5vhW3sbDhbH9Cz0tuDiY8C3ctxq1tqvaCgkFb8cCA/edit?usp=sharing"",""นครพนม!I366"")"),0)</f>
        <v>0</v>
      </c>
      <c r="J471" s="189">
        <f ca="1">IFERROR(__xludf.DUMMYFUNCTION("IMPORTRANGE(""https://docs.google.com/spreadsheets/d/1XL5vhW3sbDhbH9Cz0tuDiY8C3ctxq1tqvaCgkFb8cCA/edit?usp=sharing"",""นครพนม!J366"")"),430)</f>
        <v>430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IFERROR(__xludf.DUMMYFUNCTION("IMPORTRANGE(""https://docs.google.com/spreadsheets/d/1XL5vhW3sbDhbH9Cz0tuDiY8C3ctxq1tqvaCgkFb8cCA/edit?usp=sharing"",""นครพนม!I367"")"),0)</f>
        <v>0</v>
      </c>
      <c r="J472" s="189">
        <f ca="1">IFERROR(__xludf.DUMMYFUNCTION("IMPORTRANGE(""https://docs.google.com/spreadsheets/d/1XL5vhW3sbDhbH9Cz0tuDiY8C3ctxq1tqvaCgkFb8cCA/edit?usp=sharing"",""นครพนม!J367"")"),37)</f>
        <v>37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IFERROR(__xludf.DUMMYFUNCTION("IMPORTRANGE(""https://docs.google.com/spreadsheets/d/1XL5vhW3sbDhbH9Cz0tuDiY8C3ctxq1tqvaCgkFb8cCA/edit?usp=sharing"",""นครพนม!I368"")"),29744)</f>
        <v>29744</v>
      </c>
      <c r="J473" s="420">
        <f ca="1">IFERROR(__xludf.DUMMYFUNCTION("IMPORTRANGE(""https://docs.google.com/spreadsheets/d/1XL5vhW3sbDhbH9Cz0tuDiY8C3ctxq1tqvaCgkFb8cCA/edit?usp=sharing"",""นครพนม!J368"")"),29745)</f>
        <v>29745</v>
      </c>
      <c r="K473" s="202">
        <f t="shared" ca="1" si="117"/>
        <v>100.0033620225928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IFERROR(__xludf.DUMMYFUNCTION("IMPORTRANGE(""https://docs.google.com/spreadsheets/d/1XL5vhW3sbDhbH9Cz0tuDiY8C3ctxq1tqvaCgkFb8cCA/edit?usp=sharing"",""นครพนม!I369"")"),2630)</f>
        <v>2630</v>
      </c>
      <c r="J474" s="420">
        <f ca="1">IFERROR(__xludf.DUMMYFUNCTION("IMPORTRANGE(""https://docs.google.com/spreadsheets/d/1XL5vhW3sbDhbH9Cz0tuDiY8C3ctxq1tqvaCgkFb8cCA/edit?usp=sharing"",""นครพนม!J369"")"),2630)</f>
        <v>2630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IFERROR(__xludf.DUMMYFUNCTION("IMPORTRANGE(""https://docs.google.com/spreadsheets/d/1XL5vhW3sbDhbH9Cz0tuDiY8C3ctxq1tqvaCgkFb8cCA/edit?usp=sharing"",""นครพนม!I370"")"),0)</f>
        <v>0</v>
      </c>
      <c r="J475" s="189">
        <f ca="1">IFERROR(__xludf.DUMMYFUNCTION("IMPORTRANGE(""https://docs.google.com/spreadsheets/d/1XL5vhW3sbDhbH9Cz0tuDiY8C3ctxq1tqvaCgkFb8cCA/edit?usp=sharing"",""นครพนม!J370"")"),24858)</f>
        <v>24858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IFERROR(__xludf.DUMMYFUNCTION("IMPORTRANGE(""https://docs.google.com/spreadsheets/d/1XL5vhW3sbDhbH9Cz0tuDiY8C3ctxq1tqvaCgkFb8cCA/edit?usp=sharing"",""นครพนม!I371"")"),0)</f>
        <v>0</v>
      </c>
      <c r="J476" s="189">
        <f ca="1">IFERROR(__xludf.DUMMYFUNCTION("IMPORTRANGE(""https://docs.google.com/spreadsheets/d/1XL5vhW3sbDhbH9Cz0tuDiY8C3ctxq1tqvaCgkFb8cCA/edit?usp=sharing"",""นครพนม!J371"")"),2246)</f>
        <v>2246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IFERROR(__xludf.DUMMYFUNCTION("IMPORTRANGE(""https://docs.google.com/spreadsheets/d/1XL5vhW3sbDhbH9Cz0tuDiY8C3ctxq1tqvaCgkFb8cCA/edit?usp=sharing"",""นครพนม!I372"")"),0)</f>
        <v>0</v>
      </c>
      <c r="J477" s="189">
        <f ca="1">IFERROR(__xludf.DUMMYFUNCTION("IMPORTRANGE(""https://docs.google.com/spreadsheets/d/1XL5vhW3sbDhbH9Cz0tuDiY8C3ctxq1tqvaCgkFb8cCA/edit?usp=sharing"",""นครพนม!J372"")"),4457)</f>
        <v>4457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IFERROR(__xludf.DUMMYFUNCTION("IMPORTRANGE(""https://docs.google.com/spreadsheets/d/1XL5vhW3sbDhbH9Cz0tuDiY8C3ctxq1tqvaCgkFb8cCA/edit?usp=sharing"",""นครพนม!I373"")"),0)</f>
        <v>0</v>
      </c>
      <c r="J478" s="189">
        <f ca="1">IFERROR(__xludf.DUMMYFUNCTION("IMPORTRANGE(""https://docs.google.com/spreadsheets/d/1XL5vhW3sbDhbH9Cz0tuDiY8C3ctxq1tqvaCgkFb8cCA/edit?usp=sharing"",""นครพนม!J373"")"),347)</f>
        <v>347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IFERROR(__xludf.DUMMYFUNCTION("IMPORTRANGE(""https://docs.google.com/spreadsheets/d/1XL5vhW3sbDhbH9Cz0tuDiY8C3ctxq1tqvaCgkFb8cCA/edit?usp=sharing"",""นครพนม!I374"")"),0)</f>
        <v>0</v>
      </c>
      <c r="J479" s="189">
        <f ca="1">IFERROR(__xludf.DUMMYFUNCTION("IMPORTRANGE(""https://docs.google.com/spreadsheets/d/1XL5vhW3sbDhbH9Cz0tuDiY8C3ctxq1tqvaCgkFb8cCA/edit?usp=sharing"",""นครพนม!J374"")"),430)</f>
        <v>430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IFERROR(__xludf.DUMMYFUNCTION("IMPORTRANGE(""https://docs.google.com/spreadsheets/d/1XL5vhW3sbDhbH9Cz0tuDiY8C3ctxq1tqvaCgkFb8cCA/edit?usp=sharing"",""นครพนม!I375"")"),0)</f>
        <v>0</v>
      </c>
      <c r="J480" s="189">
        <f ca="1">IFERROR(__xludf.DUMMYFUNCTION("IMPORTRANGE(""https://docs.google.com/spreadsheets/d/1XL5vhW3sbDhbH9Cz0tuDiY8C3ctxq1tqvaCgkFb8cCA/edit?usp=sharing"",""นครพนม!J375"")"),37)</f>
        <v>37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IFERROR(__xludf.DUMMYFUNCTION("IMPORTRANGE(""https://docs.google.com/spreadsheets/d/1XL5vhW3sbDhbH9Cz0tuDiY8C3ctxq1tqvaCgkFb8cCA/edit?usp=sharing"",""นครพนม!I376"")"),29744)</f>
        <v>29744</v>
      </c>
      <c r="J481" s="420">
        <f ca="1">IFERROR(__xludf.DUMMYFUNCTION("IMPORTRANGE(""https://docs.google.com/spreadsheets/d/1XL5vhW3sbDhbH9Cz0tuDiY8C3ctxq1tqvaCgkFb8cCA/edit?usp=sharing"",""นครพนม!J376"")"),24858)</f>
        <v>24858</v>
      </c>
      <c r="K481" s="202">
        <f t="shared" ca="1" si="117"/>
        <v>83.573157611619152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IFERROR(__xludf.DUMMYFUNCTION("IMPORTRANGE(""https://docs.google.com/spreadsheets/d/1XL5vhW3sbDhbH9Cz0tuDiY8C3ctxq1tqvaCgkFb8cCA/edit?usp=sharing"",""นครพนม!I377"")"),2630)</f>
        <v>2630</v>
      </c>
      <c r="J482" s="420">
        <f ca="1">IFERROR(__xludf.DUMMYFUNCTION("IMPORTRANGE(""https://docs.google.com/spreadsheets/d/1XL5vhW3sbDhbH9Cz0tuDiY8C3ctxq1tqvaCgkFb8cCA/edit?usp=sharing"",""นครพนม!J377"")"),2246)</f>
        <v>2246</v>
      </c>
      <c r="K482" s="202">
        <f t="shared" ca="1" si="117"/>
        <v>85.399239543726239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IFERROR(__xludf.DUMMYFUNCTION("IMPORTRANGE(""https://docs.google.com/spreadsheets/d/1XL5vhW3sbDhbH9Cz0tuDiY8C3ctxq1tqvaCgkFb8cCA/edit?usp=sharing"",""นครพนม!I378"")"),0)</f>
        <v>0</v>
      </c>
      <c r="J483" s="189">
        <f ca="1">IFERROR(__xludf.DUMMYFUNCTION("IMPORTRANGE(""https://docs.google.com/spreadsheets/d/1XL5vhW3sbDhbH9Cz0tuDiY8C3ctxq1tqvaCgkFb8cCA/edit?usp=sharing"",""นครพนม!J378"")"),24858)</f>
        <v>24858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IFERROR(__xludf.DUMMYFUNCTION("IMPORTRANGE(""https://docs.google.com/spreadsheets/d/1XL5vhW3sbDhbH9Cz0tuDiY8C3ctxq1tqvaCgkFb8cCA/edit?usp=sharing"",""นครพนม!I379"")"),0)</f>
        <v>0</v>
      </c>
      <c r="J484" s="189">
        <f ca="1">IFERROR(__xludf.DUMMYFUNCTION("IMPORTRANGE(""https://docs.google.com/spreadsheets/d/1XL5vhW3sbDhbH9Cz0tuDiY8C3ctxq1tqvaCgkFb8cCA/edit?usp=sharing"",""นครพนม!J379"")"),2246)</f>
        <v>2246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IFERROR(__xludf.DUMMYFUNCTION("IMPORTRANGE(""https://docs.google.com/spreadsheets/d/1XL5vhW3sbDhbH9Cz0tuDiY8C3ctxq1tqvaCgkFb8cCA/edit?usp=sharing"",""นครพนม!I380"")"),0)</f>
        <v>0</v>
      </c>
      <c r="J485" s="189">
        <f ca="1">IFERROR(__xludf.DUMMYFUNCTION("IMPORTRANGE(""https://docs.google.com/spreadsheets/d/1XL5vhW3sbDhbH9Cz0tuDiY8C3ctxq1tqvaCgkFb8cCA/edit?usp=sharing"",""นครพนม!J380"")"),0)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IFERROR(__xludf.DUMMYFUNCTION("IMPORTRANGE(""https://docs.google.com/spreadsheets/d/1XL5vhW3sbDhbH9Cz0tuDiY8C3ctxq1tqvaCgkFb8cCA/edit?usp=sharing"",""นครพนม!I381"")"),0)</f>
        <v>0</v>
      </c>
      <c r="J486" s="189">
        <f ca="1">IFERROR(__xludf.DUMMYFUNCTION("IMPORTRANGE(""https://docs.google.com/spreadsheets/d/1XL5vhW3sbDhbH9Cz0tuDiY8C3ctxq1tqvaCgkFb8cCA/edit?usp=sharing"",""นครพนม!J381"")"),0)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IFERROR(__xludf.DUMMYFUNCTION("IMPORTRANGE(""https://docs.google.com/spreadsheets/d/1XL5vhW3sbDhbH9Cz0tuDiY8C3ctxq1tqvaCgkFb8cCA/edit?usp=sharing"",""นครพนม!I382"")"),0)</f>
        <v>0</v>
      </c>
      <c r="J487" s="420">
        <f ca="1">IFERROR(__xludf.DUMMYFUNCTION("IMPORTRANGE(""https://docs.google.com/spreadsheets/d/1XL5vhW3sbDhbH9Cz0tuDiY8C3ctxq1tqvaCgkFb8cCA/edit?usp=sharing"",""นครพนม!J382"")"),0)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IFERROR(__xludf.DUMMYFUNCTION("IMPORTRANGE(""https://docs.google.com/spreadsheets/d/1XL5vhW3sbDhbH9Cz0tuDiY8C3ctxq1tqvaCgkFb8cCA/edit?usp=sharing"",""นครพนม!I383"")"),0)</f>
        <v>0</v>
      </c>
      <c r="J488" s="420">
        <f ca="1">IFERROR(__xludf.DUMMYFUNCTION("IMPORTRANGE(""https://docs.google.com/spreadsheets/d/1XL5vhW3sbDhbH9Cz0tuDiY8C3ctxq1tqvaCgkFb8cCA/edit?usp=sharing"",""นครพนม!J383"")"),0)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IFERROR(__xludf.DUMMYFUNCTION("IMPORTRANGE(""https://docs.google.com/spreadsheets/d/1XL5vhW3sbDhbH9Cz0tuDiY8C3ctxq1tqvaCgkFb8cCA/edit?usp=sharing"",""นครพนม!I384"")"),0)</f>
        <v>0</v>
      </c>
      <c r="J489" s="189">
        <f ca="1">IFERROR(__xludf.DUMMYFUNCTION("IMPORTRANGE(""https://docs.google.com/spreadsheets/d/1XL5vhW3sbDhbH9Cz0tuDiY8C3ctxq1tqvaCgkFb8cCA/edit?usp=sharing"",""นครพนม!J384"")"),0)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IFERROR(__xludf.DUMMYFUNCTION("IMPORTRANGE(""https://docs.google.com/spreadsheets/d/1XL5vhW3sbDhbH9Cz0tuDiY8C3ctxq1tqvaCgkFb8cCA/edit?usp=sharing"",""นครพนม!I385"")"),0)</f>
        <v>0</v>
      </c>
      <c r="J490" s="189">
        <f ca="1">IFERROR(__xludf.DUMMYFUNCTION("IMPORTRANGE(""https://docs.google.com/spreadsheets/d/1XL5vhW3sbDhbH9Cz0tuDiY8C3ctxq1tqvaCgkFb8cCA/edit?usp=sharing"",""นครพนม!J385"")"),0)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IFERROR(__xludf.DUMMYFUNCTION("IMPORTRANGE(""https://docs.google.com/spreadsheets/d/1XL5vhW3sbDhbH9Cz0tuDiY8C3ctxq1tqvaCgkFb8cCA/edit?usp=sharing"",""นครพนม!I386"")"),0)</f>
        <v>0</v>
      </c>
      <c r="J491" s="189">
        <f ca="1">IFERROR(__xludf.DUMMYFUNCTION("IMPORTRANGE(""https://docs.google.com/spreadsheets/d/1XL5vhW3sbDhbH9Cz0tuDiY8C3ctxq1tqvaCgkFb8cCA/edit?usp=sharing"",""นครพนม!J386"")"),0)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IFERROR(__xludf.DUMMYFUNCTION("IMPORTRANGE(""https://docs.google.com/spreadsheets/d/1XL5vhW3sbDhbH9Cz0tuDiY8C3ctxq1tqvaCgkFb8cCA/edit?usp=sharing"",""นครพนม!I387"")"),0)</f>
        <v>0</v>
      </c>
      <c r="J492" s="189">
        <f ca="1">IFERROR(__xludf.DUMMYFUNCTION("IMPORTRANGE(""https://docs.google.com/spreadsheets/d/1XL5vhW3sbDhbH9Cz0tuDiY8C3ctxq1tqvaCgkFb8cCA/edit?usp=sharing"",""นครพนม!J387"")"),0)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IFERROR(__xludf.DUMMYFUNCTION("IMPORTRANGE(""https://docs.google.com/spreadsheets/d/1XL5vhW3sbDhbH9Cz0tuDiY8C3ctxq1tqvaCgkFb8cCA/edit?usp=sharing"",""นครพนม!I388"")"),0)</f>
        <v>0</v>
      </c>
      <c r="J493" s="189">
        <f ca="1">IFERROR(__xludf.DUMMYFUNCTION("IMPORTRANGE(""https://docs.google.com/spreadsheets/d/1XL5vhW3sbDhbH9Cz0tuDiY8C3ctxq1tqvaCgkFb8cCA/edit?usp=sharing"",""นครพนม!J388"")"),0)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IFERROR(__xludf.DUMMYFUNCTION("IMPORTRANGE(""https://docs.google.com/spreadsheets/d/1XL5vhW3sbDhbH9Cz0tuDiY8C3ctxq1tqvaCgkFb8cCA/edit?usp=sharing"",""นครพนม!I389"")"),0)</f>
        <v>0</v>
      </c>
      <c r="J494" s="436">
        <f ca="1">IFERROR(__xludf.DUMMYFUNCTION("IMPORTRANGE(""https://docs.google.com/spreadsheets/d/1XL5vhW3sbDhbH9Cz0tuDiY8C3ctxq1tqvaCgkFb8cCA/edit?usp=sharing"",""นครพนม!J389"")"),0)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IFERROR(__xludf.DUMMYFUNCTION("IMPORTRANGE(""https://docs.google.com/spreadsheets/d/1XL5vhW3sbDhbH9Cz0tuDiY8C3ctxq1tqvaCgkFb8cCA/edit?usp=sharing"",""นครพนม!I390"")"),0)</f>
        <v>0</v>
      </c>
      <c r="J495" s="436">
        <f ca="1">IFERROR(__xludf.DUMMYFUNCTION("IMPORTRANGE(""https://docs.google.com/spreadsheets/d/1XL5vhW3sbDhbH9Cz0tuDiY8C3ctxq1tqvaCgkFb8cCA/edit?usp=sharing"",""นครพนม!J390"")"),0)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IFERROR(__xludf.DUMMYFUNCTION("IMPORTRANGE(""https://docs.google.com/spreadsheets/d/1XL5vhW3sbDhbH9Cz0tuDiY8C3ctxq1tqvaCgkFb8cCA/edit?usp=sharing"",""นครพนม!I391"")"),0)</f>
        <v>0</v>
      </c>
      <c r="J496" s="436">
        <f ca="1">IFERROR(__xludf.DUMMYFUNCTION("IMPORTRANGE(""https://docs.google.com/spreadsheets/d/1XL5vhW3sbDhbH9Cz0tuDiY8C3ctxq1tqvaCgkFb8cCA/edit?usp=sharing"",""นครพนม!J391"")"),0)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IFERROR(__xludf.DUMMYFUNCTION("IMPORTRANGE(""https://docs.google.com/spreadsheets/d/1XL5vhW3sbDhbH9Cz0tuDiY8C3ctxq1tqvaCgkFb8cCA/edit?usp=sharing"",""นครพนม!I392"")"),2078)</f>
        <v>2078</v>
      </c>
      <c r="J497" s="443">
        <f ca="1">IFERROR(__xludf.DUMMYFUNCTION("IMPORTRANGE(""https://docs.google.com/spreadsheets/d/1XL5vhW3sbDhbH9Cz0tuDiY8C3ctxq1tqvaCgkFb8cCA/edit?usp=sharing"",""นครพนม!J392"")"),662)</f>
        <v>662</v>
      </c>
      <c r="K497" s="444">
        <f t="shared" ca="1" si="117"/>
        <v>31.857555341674686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IFERROR(__xludf.DUMMYFUNCTION("IMPORTRANGE(""https://docs.google.com/spreadsheets/d/1XL5vhW3sbDhbH9Cz0tuDiY8C3ctxq1tqvaCgkFb8cCA/edit?usp=sharing"",""นครพนม!I393"")"),2078)</f>
        <v>2078</v>
      </c>
      <c r="J498" s="420">
        <f ca="1">IFERROR(__xludf.DUMMYFUNCTION("IMPORTRANGE(""https://docs.google.com/spreadsheets/d/1XL5vhW3sbDhbH9Cz0tuDiY8C3ctxq1tqvaCgkFb8cCA/edit?usp=sharing"",""นครพนม!J393"")"),662)</f>
        <v>662</v>
      </c>
      <c r="K498" s="202">
        <f t="shared" ca="1" si="117"/>
        <v>31.857555341674686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IFERROR(__xludf.DUMMYFUNCTION("IMPORTRANGE(""https://docs.google.com/spreadsheets/d/1XL5vhW3sbDhbH9Cz0tuDiY8C3ctxq1tqvaCgkFb8cCA/edit?usp=sharing"",""นครพนม!I394"")"),268)</f>
        <v>268</v>
      </c>
      <c r="J499" s="420">
        <f ca="1">IFERROR(__xludf.DUMMYFUNCTION("IMPORTRANGE(""https://docs.google.com/spreadsheets/d/1XL5vhW3sbDhbH9Cz0tuDiY8C3ctxq1tqvaCgkFb8cCA/edit?usp=sharing"",""นครพนม!J394"")"),107)</f>
        <v>107</v>
      </c>
      <c r="K499" s="202">
        <f t="shared" ca="1" si="117"/>
        <v>39.92537313432836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IFERROR(__xludf.DUMMYFUNCTION("IMPORTRANGE(""https://docs.google.com/spreadsheets/d/1XL5vhW3sbDhbH9Cz0tuDiY8C3ctxq1tqvaCgkFb8cCA/edit?usp=sharing"",""นครพนม!I395"")"),0)</f>
        <v>0</v>
      </c>
      <c r="J500" s="162">
        <f ca="1">IFERROR(__xludf.DUMMYFUNCTION("IMPORTRANGE(""https://docs.google.com/spreadsheets/d/1XL5vhW3sbDhbH9Cz0tuDiY8C3ctxq1tqvaCgkFb8cCA/edit?usp=sharing"",""นครพนม!J395"")"),662)</f>
        <v>662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IFERROR(__xludf.DUMMYFUNCTION("IMPORTRANGE(""https://docs.google.com/spreadsheets/d/1XL5vhW3sbDhbH9Cz0tuDiY8C3ctxq1tqvaCgkFb8cCA/edit?usp=sharing"",""นครพนม!I396"")"),0)</f>
        <v>0</v>
      </c>
      <c r="J501" s="162">
        <f ca="1">IFERROR(__xludf.DUMMYFUNCTION("IMPORTRANGE(""https://docs.google.com/spreadsheets/d/1XL5vhW3sbDhbH9Cz0tuDiY8C3ctxq1tqvaCgkFb8cCA/edit?usp=sharing"",""นครพนม!J396"")"),107)</f>
        <v>107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IFERROR(__xludf.DUMMYFUNCTION("IMPORTRANGE(""https://docs.google.com/spreadsheets/d/1XL5vhW3sbDhbH9Cz0tuDiY8C3ctxq1tqvaCgkFb8cCA/edit?usp=sharing"",""นครพนม!I397"")"),0)</f>
        <v>0</v>
      </c>
      <c r="J502" s="189">
        <f ca="1">IFERROR(__xludf.DUMMYFUNCTION("IMPORTRANGE(""https://docs.google.com/spreadsheets/d/1XL5vhW3sbDhbH9Cz0tuDiY8C3ctxq1tqvaCgkFb8cCA/edit?usp=sharing"",""นครพนม!J397"")"),641)</f>
        <v>641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IFERROR(__xludf.DUMMYFUNCTION("IMPORTRANGE(""https://docs.google.com/spreadsheets/d/1XL5vhW3sbDhbH9Cz0tuDiY8C3ctxq1tqvaCgkFb8cCA/edit?usp=sharing"",""นครพนม!I398"")"),0)</f>
        <v>0</v>
      </c>
      <c r="J503" s="198">
        <f ca="1">IFERROR(__xludf.DUMMYFUNCTION("IMPORTRANGE(""https://docs.google.com/spreadsheets/d/1XL5vhW3sbDhbH9Cz0tuDiY8C3ctxq1tqvaCgkFb8cCA/edit?usp=sharing"",""นครพนม!J398"")"),103)</f>
        <v>103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IFERROR(__xludf.DUMMYFUNCTION("IMPORTRANGE(""https://docs.google.com/spreadsheets/d/1XL5vhW3sbDhbH9Cz0tuDiY8C3ctxq1tqvaCgkFb8cCA/edit?usp=sharing"",""นครพนม!I399"")"),0)</f>
        <v>0</v>
      </c>
      <c r="J504" s="189">
        <f ca="1">IFERROR(__xludf.DUMMYFUNCTION("IMPORTRANGE(""https://docs.google.com/spreadsheets/d/1XL5vhW3sbDhbH9Cz0tuDiY8C3ctxq1tqvaCgkFb8cCA/edit?usp=sharing"",""นครพนม!J399"")"),21)</f>
        <v>21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IFERROR(__xludf.DUMMYFUNCTION("IMPORTRANGE(""https://docs.google.com/spreadsheets/d/1XL5vhW3sbDhbH9Cz0tuDiY8C3ctxq1tqvaCgkFb8cCA/edit?usp=sharing"",""นครพนม!I400"")"),0)</f>
        <v>0</v>
      </c>
      <c r="J505" s="198">
        <f ca="1">IFERROR(__xludf.DUMMYFUNCTION("IMPORTRANGE(""https://docs.google.com/spreadsheets/d/1XL5vhW3sbDhbH9Cz0tuDiY8C3ctxq1tqvaCgkFb8cCA/edit?usp=sharing"",""นครพนม!J400"")"),4)</f>
        <v>4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IFERROR(__xludf.DUMMYFUNCTION("IMPORTRANGE(""https://docs.google.com/spreadsheets/d/1XL5vhW3sbDhbH9Cz0tuDiY8C3ctxq1tqvaCgkFb8cCA/edit?usp=sharing"",""นครพนม!I401"")"),0)</f>
        <v>0</v>
      </c>
      <c r="J506" s="189">
        <f ca="1">IFERROR(__xludf.DUMMYFUNCTION("IMPORTRANGE(""https://docs.google.com/spreadsheets/d/1XL5vhW3sbDhbH9Cz0tuDiY8C3ctxq1tqvaCgkFb8cCA/edit?usp=sharing"",""นครพนม!J401"")"),0)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IFERROR(__xludf.DUMMYFUNCTION("IMPORTRANGE(""https://docs.google.com/spreadsheets/d/1XL5vhW3sbDhbH9Cz0tuDiY8C3ctxq1tqvaCgkFb8cCA/edit?usp=sharing"",""นครพนม!I402"")"),0)</f>
        <v>0</v>
      </c>
      <c r="J507" s="198">
        <f ca="1">IFERROR(__xludf.DUMMYFUNCTION("IMPORTRANGE(""https://docs.google.com/spreadsheets/d/1XL5vhW3sbDhbH9Cz0tuDiY8C3ctxq1tqvaCgkFb8cCA/edit?usp=sharing"",""นครพนม!J402"")"),0)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IFERROR(__xludf.DUMMYFUNCTION("IMPORTRANGE(""https://docs.google.com/spreadsheets/d/1XL5vhW3sbDhbH9Cz0tuDiY8C3ctxq1tqvaCgkFb8cCA/edit?usp=sharing"",""นครพนม!I403"")"),0)</f>
        <v>0</v>
      </c>
      <c r="J508" s="162">
        <f ca="1">IFERROR(__xludf.DUMMYFUNCTION("IMPORTRANGE(""https://docs.google.com/spreadsheets/d/1XL5vhW3sbDhbH9Cz0tuDiY8C3ctxq1tqvaCgkFb8cCA/edit?usp=sharing"",""นครพนม!J403"")"),0)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IFERROR(__xludf.DUMMYFUNCTION("IMPORTRANGE(""https://docs.google.com/spreadsheets/d/1XL5vhW3sbDhbH9Cz0tuDiY8C3ctxq1tqvaCgkFb8cCA/edit?usp=sharing"",""นครพนม!I404"")"),0)</f>
        <v>0</v>
      </c>
      <c r="J509" s="162">
        <f ca="1">IFERROR(__xludf.DUMMYFUNCTION("IMPORTRANGE(""https://docs.google.com/spreadsheets/d/1XL5vhW3sbDhbH9Cz0tuDiY8C3ctxq1tqvaCgkFb8cCA/edit?usp=sharing"",""นครพนม!J404"")"),0)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IFERROR(__xludf.DUMMYFUNCTION("IMPORTRANGE(""https://docs.google.com/spreadsheets/d/1XL5vhW3sbDhbH9Cz0tuDiY8C3ctxq1tqvaCgkFb8cCA/edit?usp=sharing"",""นครพนม!I405"")"),0)</f>
        <v>0</v>
      </c>
      <c r="J510" s="198">
        <f ca="1">IFERROR(__xludf.DUMMYFUNCTION("IMPORTRANGE(""https://docs.google.com/spreadsheets/d/1XL5vhW3sbDhbH9Cz0tuDiY8C3ctxq1tqvaCgkFb8cCA/edit?usp=sharing"",""นครพนม!J405"")"),0)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IFERROR(__xludf.DUMMYFUNCTION("IMPORTRANGE(""https://docs.google.com/spreadsheets/d/1XL5vhW3sbDhbH9Cz0tuDiY8C3ctxq1tqvaCgkFb8cCA/edit?usp=sharing"",""นครพนม!I406"")"),0)</f>
        <v>0</v>
      </c>
      <c r="J511" s="198">
        <f ca="1">IFERROR(__xludf.DUMMYFUNCTION("IMPORTRANGE(""https://docs.google.com/spreadsheets/d/1XL5vhW3sbDhbH9Cz0tuDiY8C3ctxq1tqvaCgkFb8cCA/edit?usp=sharing"",""นครพนม!J406"")"),0)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IFERROR(__xludf.DUMMYFUNCTION("IMPORTRANGE(""https://docs.google.com/spreadsheets/d/1XL5vhW3sbDhbH9Cz0tuDiY8C3ctxq1tqvaCgkFb8cCA/edit?usp=sharing"",""นครพนม!I407"")"),0)</f>
        <v>0</v>
      </c>
      <c r="J512" s="198">
        <f ca="1">IFERROR(__xludf.DUMMYFUNCTION("IMPORTRANGE(""https://docs.google.com/spreadsheets/d/1XL5vhW3sbDhbH9Cz0tuDiY8C3ctxq1tqvaCgkFb8cCA/edit?usp=sharing"",""นครพนม!J407"")"),0)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IFERROR(__xludf.DUMMYFUNCTION("IMPORTRANGE(""https://docs.google.com/spreadsheets/d/1XL5vhW3sbDhbH9Cz0tuDiY8C3ctxq1tqvaCgkFb8cCA/edit?usp=sharing"",""นครพนม!I408"")"),0)</f>
        <v>0</v>
      </c>
      <c r="J513" s="198">
        <f ca="1">IFERROR(__xludf.DUMMYFUNCTION("IMPORTRANGE(""https://docs.google.com/spreadsheets/d/1XL5vhW3sbDhbH9Cz0tuDiY8C3ctxq1tqvaCgkFb8cCA/edit?usp=sharing"",""นครพนม!J408"")"),0)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IFERROR(__xludf.DUMMYFUNCTION("IMPORTRANGE(""https://docs.google.com/spreadsheets/d/1XL5vhW3sbDhbH9Cz0tuDiY8C3ctxq1tqvaCgkFb8cCA/edit?usp=sharing"",""นครพนม!I409"")"),0)</f>
        <v>0</v>
      </c>
      <c r="J514" s="198">
        <f ca="1">IFERROR(__xludf.DUMMYFUNCTION("IMPORTRANGE(""https://docs.google.com/spreadsheets/d/1XL5vhW3sbDhbH9Cz0tuDiY8C3ctxq1tqvaCgkFb8cCA/edit?usp=sharing"",""นครพนม!J409"")"),0)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IFERROR(__xludf.DUMMYFUNCTION("IMPORTRANGE(""https://docs.google.com/spreadsheets/d/1XL5vhW3sbDhbH9Cz0tuDiY8C3ctxq1tqvaCgkFb8cCA/edit?usp=sharing"",""นครพนม!I410"")"),0)</f>
        <v>0</v>
      </c>
      <c r="J515" s="198">
        <f ca="1">IFERROR(__xludf.DUMMYFUNCTION("IMPORTRANGE(""https://docs.google.com/spreadsheets/d/1XL5vhW3sbDhbH9Cz0tuDiY8C3ctxq1tqvaCgkFb8cCA/edit?usp=sharing"",""นครพนม!J410"")"),0)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IFERROR(__xludf.DUMMYFUNCTION("IMPORTRANGE(""https://docs.google.com/spreadsheets/d/1XL5vhW3sbDhbH9Cz0tuDiY8C3ctxq1tqvaCgkFb8cCA/edit?usp=sharing"",""นครพนม!I411"")"),0)</f>
        <v>0</v>
      </c>
      <c r="J516" s="267">
        <f ca="1">IFERROR(__xludf.DUMMYFUNCTION("IMPORTRANGE(""https://docs.google.com/spreadsheets/d/1XL5vhW3sbDhbH9Cz0tuDiY8C3ctxq1tqvaCgkFb8cCA/edit?usp=sharing"",""นครพนม!J411"")"),0)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IFERROR(__xludf.DUMMYFUNCTION("IMPORTRANGE(""https://docs.google.com/spreadsheets/d/1XL5vhW3sbDhbH9Cz0tuDiY8C3ctxq1tqvaCgkFb8cCA/edit?usp=sharing"",""นครพนม!I412"")"),0)</f>
        <v>0</v>
      </c>
      <c r="J517" s="284">
        <f ca="1">IFERROR(__xludf.DUMMYFUNCTION("IMPORTRANGE(""https://docs.google.com/spreadsheets/d/1XL5vhW3sbDhbH9Cz0tuDiY8C3ctxq1tqvaCgkFb8cCA/edit?usp=sharing"",""นครพนม!J412"")"),0)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IFERROR(__xludf.DUMMYFUNCTION("IMPORTRANGE(""https://docs.google.com/spreadsheets/d/1XL5vhW3sbDhbH9Cz0tuDiY8C3ctxq1tqvaCgkFb8cCA/edit?usp=sharing"",""นครพนม!I413"")"),0)</f>
        <v>0</v>
      </c>
      <c r="J518" s="284">
        <f ca="1">IFERROR(__xludf.DUMMYFUNCTION("IMPORTRANGE(""https://docs.google.com/spreadsheets/d/1XL5vhW3sbDhbH9Cz0tuDiY8C3ctxq1tqvaCgkFb8cCA/edit?usp=sharing"",""นครพนม!J413"")"),0)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IFERROR(__xludf.DUMMYFUNCTION("IMPORTRANGE(""https://docs.google.com/spreadsheets/d/1XL5vhW3sbDhbH9Cz0tuDiY8C3ctxq1tqvaCgkFb8cCA/edit?usp=sharing"",""นครพนม!I414"")"),0)</f>
        <v>0</v>
      </c>
      <c r="J519" s="188">
        <f ca="1">IFERROR(__xludf.DUMMYFUNCTION("IMPORTRANGE(""https://docs.google.com/spreadsheets/d/1XL5vhW3sbDhbH9Cz0tuDiY8C3ctxq1tqvaCgkFb8cCA/edit?usp=sharing"",""นครพนม!J414"")"),0)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IFERROR(__xludf.DUMMYFUNCTION("IMPORTRANGE(""https://docs.google.com/spreadsheets/d/1XL5vhW3sbDhbH9Cz0tuDiY8C3ctxq1tqvaCgkFb8cCA/edit?usp=sharing"",""นครพนม!I415"")"),0)</f>
        <v>0</v>
      </c>
      <c r="J520" s="188">
        <f ca="1">IFERROR(__xludf.DUMMYFUNCTION("IMPORTRANGE(""https://docs.google.com/spreadsheets/d/1XL5vhW3sbDhbH9Cz0tuDiY8C3ctxq1tqvaCgkFb8cCA/edit?usp=sharing"",""นครพนม!J415"")"),0)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IFERROR(__xludf.DUMMYFUNCTION("IMPORTRANGE(""https://docs.google.com/spreadsheets/d/1XL5vhW3sbDhbH9Cz0tuDiY8C3ctxq1tqvaCgkFb8cCA/edit?usp=sharing"",""นครพนม!I416"")"),0)</f>
        <v>0</v>
      </c>
      <c r="J521" s="188">
        <f ca="1">IFERROR(__xludf.DUMMYFUNCTION("IMPORTRANGE(""https://docs.google.com/spreadsheets/d/1XL5vhW3sbDhbH9Cz0tuDiY8C3ctxq1tqvaCgkFb8cCA/edit?usp=sharing"",""นครพนม!J416"")"),0)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IFERROR(__xludf.DUMMYFUNCTION("IMPORTRANGE(""https://docs.google.com/spreadsheets/d/1XL5vhW3sbDhbH9Cz0tuDiY8C3ctxq1tqvaCgkFb8cCA/edit?usp=sharing"",""นครพนม!I417"")"),0)</f>
        <v>0</v>
      </c>
      <c r="J522" s="188">
        <f ca="1">IFERROR(__xludf.DUMMYFUNCTION("IMPORTRANGE(""https://docs.google.com/spreadsheets/d/1XL5vhW3sbDhbH9Cz0tuDiY8C3ctxq1tqvaCgkFb8cCA/edit?usp=sharing"",""นครพนม!J417"")"),0)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IFERROR(__xludf.DUMMYFUNCTION("IMPORTRANGE(""https://docs.google.com/spreadsheets/d/1XL5vhW3sbDhbH9Cz0tuDiY8C3ctxq1tqvaCgkFb8cCA/edit?usp=sharing"",""นครพนม!I418"")"),0)</f>
        <v>0</v>
      </c>
      <c r="J523" s="188">
        <f ca="1">IFERROR(__xludf.DUMMYFUNCTION("IMPORTRANGE(""https://docs.google.com/spreadsheets/d/1XL5vhW3sbDhbH9Cz0tuDiY8C3ctxq1tqvaCgkFb8cCA/edit?usp=sharing"",""นครพนม!J418"")"),0)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IFERROR(__xludf.DUMMYFUNCTION("IMPORTRANGE(""https://docs.google.com/spreadsheets/d/1XL5vhW3sbDhbH9Cz0tuDiY8C3ctxq1tqvaCgkFb8cCA/edit?usp=sharing"",""นครพนม!I419"")"),0)</f>
        <v>0</v>
      </c>
      <c r="J524" s="188">
        <f ca="1">IFERROR(__xludf.DUMMYFUNCTION("IMPORTRANGE(""https://docs.google.com/spreadsheets/d/1XL5vhW3sbDhbH9Cz0tuDiY8C3ctxq1tqvaCgkFb8cCA/edit?usp=sharing"",""นครพนม!J419"")"),0)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IFERROR(__xludf.DUMMYFUNCTION("IMPORTRANGE(""https://docs.google.com/spreadsheets/d/1XL5vhW3sbDhbH9Cz0tuDiY8C3ctxq1tqvaCgkFb8cCA/edit?usp=sharing"",""นครพนม!I420"")"),0)</f>
        <v>0</v>
      </c>
      <c r="J525" s="284">
        <f ca="1">IFERROR(__xludf.DUMMYFUNCTION("IMPORTRANGE(""https://docs.google.com/spreadsheets/d/1XL5vhW3sbDhbH9Cz0tuDiY8C3ctxq1tqvaCgkFb8cCA/edit?usp=sharing"",""นครพนม!J420"")"),0)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IFERROR(__xludf.DUMMYFUNCTION("IMPORTRANGE(""https://docs.google.com/spreadsheets/d/1XL5vhW3sbDhbH9Cz0tuDiY8C3ctxq1tqvaCgkFb8cCA/edit?usp=sharing"",""นครพนม!I421"")"),0)</f>
        <v>0</v>
      </c>
      <c r="J526" s="284">
        <f ca="1">IFERROR(__xludf.DUMMYFUNCTION("IMPORTRANGE(""https://docs.google.com/spreadsheets/d/1XL5vhW3sbDhbH9Cz0tuDiY8C3ctxq1tqvaCgkFb8cCA/edit?usp=sharing"",""นครพนม!J421"")"),0)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IFERROR(__xludf.DUMMYFUNCTION("IMPORTRANGE(""https://docs.google.com/spreadsheets/d/1XL5vhW3sbDhbH9Cz0tuDiY8C3ctxq1tqvaCgkFb8cCA/edit?usp=sharing"",""นครพนม!I422"")"),0)</f>
        <v>0</v>
      </c>
      <c r="J527" s="198">
        <f ca="1">IFERROR(__xludf.DUMMYFUNCTION("IMPORTRANGE(""https://docs.google.com/spreadsheets/d/1XL5vhW3sbDhbH9Cz0tuDiY8C3ctxq1tqvaCgkFb8cCA/edit?usp=sharing"",""นครพนม!J422"")"),0)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IFERROR(__xludf.DUMMYFUNCTION("IMPORTRANGE(""https://docs.google.com/spreadsheets/d/1XL5vhW3sbDhbH9Cz0tuDiY8C3ctxq1tqvaCgkFb8cCA/edit?usp=sharing"",""นครพนม!I423"")"),0)</f>
        <v>0</v>
      </c>
      <c r="J528" s="198">
        <f ca="1">IFERROR(__xludf.DUMMYFUNCTION("IMPORTRANGE(""https://docs.google.com/spreadsheets/d/1XL5vhW3sbDhbH9Cz0tuDiY8C3ctxq1tqvaCgkFb8cCA/edit?usp=sharing"",""นครพนม!J423"")"),0)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IFERROR(__xludf.DUMMYFUNCTION("IMPORTRANGE(""https://docs.google.com/spreadsheets/d/1XL5vhW3sbDhbH9Cz0tuDiY8C3ctxq1tqvaCgkFb8cCA/edit?usp=sharing"",""นครพนม!I424"")"),0)</f>
        <v>0</v>
      </c>
      <c r="J529" s="198">
        <f ca="1">IFERROR(__xludf.DUMMYFUNCTION("IMPORTRANGE(""https://docs.google.com/spreadsheets/d/1XL5vhW3sbDhbH9Cz0tuDiY8C3ctxq1tqvaCgkFb8cCA/edit?usp=sharing"",""นครพนม!J424"")"),0)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IFERROR(__xludf.DUMMYFUNCTION("IMPORTRANGE(""https://docs.google.com/spreadsheets/d/1XL5vhW3sbDhbH9Cz0tuDiY8C3ctxq1tqvaCgkFb8cCA/edit?usp=sharing"",""นครพนม!I425"")"),0)</f>
        <v>0</v>
      </c>
      <c r="J530" s="198">
        <f ca="1">IFERROR(__xludf.DUMMYFUNCTION("IMPORTRANGE(""https://docs.google.com/spreadsheets/d/1XL5vhW3sbDhbH9Cz0tuDiY8C3ctxq1tqvaCgkFb8cCA/edit?usp=sharing"",""นครพนม!J425"")"),0)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IFERROR(__xludf.DUMMYFUNCTION("IMPORTRANGE(""https://docs.google.com/spreadsheets/d/1XL5vhW3sbDhbH9Cz0tuDiY8C3ctxq1tqvaCgkFb8cCA/edit?usp=sharing"",""นครพนม!I426"")"),0)</f>
        <v>0</v>
      </c>
      <c r="J531" s="198">
        <f ca="1">IFERROR(__xludf.DUMMYFUNCTION("IMPORTRANGE(""https://docs.google.com/spreadsheets/d/1XL5vhW3sbDhbH9Cz0tuDiY8C3ctxq1tqvaCgkFb8cCA/edit?usp=sharing"",""นครพนม!J426"")"),0)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IFERROR(__xludf.DUMMYFUNCTION("IMPORTRANGE(""https://docs.google.com/spreadsheets/d/1XL5vhW3sbDhbH9Cz0tuDiY8C3ctxq1tqvaCgkFb8cCA/edit?usp=sharing"",""นครพนม!I427"")"),0)</f>
        <v>0</v>
      </c>
      <c r="J532" s="466">
        <f ca="1">IFERROR(__xludf.DUMMYFUNCTION("IMPORTRANGE(""https://docs.google.com/spreadsheets/d/1XL5vhW3sbDhbH9Cz0tuDiY8C3ctxq1tqvaCgkFb8cCA/edit?usp=sharing"",""นครพนม!J427"")"),0)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IFERROR(__xludf.DUMMYFUNCTION("IMPORTRANGE(""https://docs.google.com/spreadsheets/d/1XL5vhW3sbDhbH9Cz0tuDiY8C3ctxq1tqvaCgkFb8cCA/edit?usp=sharing"",""นครพนม!I428"")"),22)</f>
        <v>22</v>
      </c>
      <c r="J533" s="410">
        <f ca="1">IFERROR(__xludf.DUMMYFUNCTION("IMPORTRANGE(""https://docs.google.com/spreadsheets/d/1XL5vhW3sbDhbH9Cz0tuDiY8C3ctxq1tqvaCgkFb8cCA/edit?usp=sharing"",""นครพนม!J428"")"),22)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IFERROR(__xludf.DUMMYFUNCTION("IMPORTRANGE(""https://docs.google.com/spreadsheets/d/1XL5vhW3sbDhbH9Cz0tuDiY8C3ctxq1tqvaCgkFb8cCA/edit?usp=sharing"",""นครพนม!L428"")"),34340)</f>
        <v>34340</v>
      </c>
      <c r="M533" s="412"/>
      <c r="N533" s="412">
        <f ca="1">IFERROR(__xludf.DUMMYFUNCTION("IMPORTRANGE(""https://docs.google.com/spreadsheets/d/1XL5vhW3sbDhbH9Cz0tuDiY8C3ctxq1tqvaCgkFb8cCA/edit?usp=sharing"",""นครพนม!M428"")"),32090.2)</f>
        <v>32090.2</v>
      </c>
      <c r="O533" s="412">
        <f t="shared" ref="O533:O537" ca="1" si="118">+IF(L533&gt;0,N533*100/L533,0)</f>
        <v>93.448456610366918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IFERROR(__xludf.DUMMYFUNCTION("IMPORTRANGE(""https://docs.google.com/spreadsheets/d/1XL5vhW3sbDhbH9Cz0tuDiY8C3ctxq1tqvaCgkFb8cCA/edit?usp=sharing"",""นครพนม!L429"")"),0)</f>
        <v>0</v>
      </c>
      <c r="M534" s="164"/>
      <c r="N534" s="169">
        <f ca="1">IFERROR(__xludf.DUMMYFUNCTION("IMPORTRANGE(""https://docs.google.com/spreadsheets/d/1XL5vhW3sbDhbH9Cz0tuDiY8C3ctxq1tqvaCgkFb8cCA/edit?usp=sharing"",""นครพนม!M429"")"),0)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IFERROR(__xludf.DUMMYFUNCTION("IMPORTRANGE(""https://docs.google.com/spreadsheets/d/1XL5vhW3sbDhbH9Cz0tuDiY8C3ctxq1tqvaCgkFb8cCA/edit?usp=sharing"",""นครพนม!L430"")"),34340)</f>
        <v>34340</v>
      </c>
      <c r="M535" s="165"/>
      <c r="N535" s="169">
        <f ca="1">IFERROR(__xludf.DUMMYFUNCTION("IMPORTRANGE(""https://docs.google.com/spreadsheets/d/1XL5vhW3sbDhbH9Cz0tuDiY8C3ctxq1tqvaCgkFb8cCA/edit?usp=sharing"",""นครพนม!M430"")"),32090.2)</f>
        <v>32090.2</v>
      </c>
      <c r="O535" s="169">
        <f t="shared" ca="1" si="118"/>
        <v>93.448456610366918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IFERROR(__xludf.DUMMYFUNCTION("IMPORTRANGE(""https://docs.google.com/spreadsheets/d/1XL5vhW3sbDhbH9Cz0tuDiY8C3ctxq1tqvaCgkFb8cCA/edit?usp=sharing"",""นครพนม!L431"")"),0)</f>
        <v>0</v>
      </c>
      <c r="M536" s="169"/>
      <c r="N536" s="169">
        <f ca="1">IFERROR(__xludf.DUMMYFUNCTION("IMPORTRANGE(""https://docs.google.com/spreadsheets/d/1XL5vhW3sbDhbH9Cz0tuDiY8C3ctxq1tqvaCgkFb8cCA/edit?usp=sharing"",""นครพนม!M431"")"),0)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IFERROR(__xludf.DUMMYFUNCTION("IMPORTRANGE(""https://docs.google.com/spreadsheets/d/1XL5vhW3sbDhbH9Cz0tuDiY8C3ctxq1tqvaCgkFb8cCA/edit?usp=sharing"",""นครพนม!L432"")"),34340)</f>
        <v>34340</v>
      </c>
      <c r="M537" s="169"/>
      <c r="N537" s="169">
        <f ca="1">IFERROR(__xludf.DUMMYFUNCTION("IMPORTRANGE(""https://docs.google.com/spreadsheets/d/1XL5vhW3sbDhbH9Cz0tuDiY8C3ctxq1tqvaCgkFb8cCA/edit?usp=sharing"",""นครพนม!M432"")"),32090.2)</f>
        <v>32090.2</v>
      </c>
      <c r="O537" s="169">
        <f t="shared" ca="1" si="118"/>
        <v>93.448456610366918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IFERROR(__xludf.DUMMYFUNCTION("IMPORTRANGE(""https://docs.google.com/spreadsheets/d/1XL5vhW3sbDhbH9Cz0tuDiY8C3ctxq1tqvaCgkFb8cCA/edit?usp=sharing"",""นครพนม!M433"")"),18740)</f>
        <v>18740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IFERROR(__xludf.DUMMYFUNCTION("IMPORTRANGE(""https://docs.google.com/spreadsheets/d/1XL5vhW3sbDhbH9Cz0tuDiY8C3ctxq1tqvaCgkFb8cCA/edit?usp=sharing"",""นครพนม!M434"")"),0)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IFERROR(__xludf.DUMMYFUNCTION("IMPORTRANGE(""https://docs.google.com/spreadsheets/d/1XL5vhW3sbDhbH9Cz0tuDiY8C3ctxq1tqvaCgkFb8cCA/edit?usp=sharing"",""นครพนม!M435"")"),0)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IFERROR(__xludf.DUMMYFUNCTION("IMPORTRANGE(""https://docs.google.com/spreadsheets/d/1XL5vhW3sbDhbH9Cz0tuDiY8C3ctxq1tqvaCgkFb8cCA/edit?usp=sharing"",""นครพนม!M436"")"),13350.2)</f>
        <v>13350.2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IFERROR(__xludf.DUMMYFUNCTION("IMPORTRANGE(""https://docs.google.com/spreadsheets/d/1XL5vhW3sbDhbH9Cz0tuDiY8C3ctxq1tqvaCgkFb8cCA/edit?usp=sharing"",""นครพนม!J438"")"),0)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IFERROR(__xludf.DUMMYFUNCTION("IMPORTRANGE(""https://docs.google.com/spreadsheets/d/1XL5vhW3sbDhbH9Cz0tuDiY8C3ctxq1tqvaCgkFb8cCA/edit?usp=sharing"",""นครพนม!J439"")"),1)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IFERROR(__xludf.DUMMYFUNCTION("IMPORTRANGE(""https://docs.google.com/spreadsheets/d/1XL5vhW3sbDhbH9Cz0tuDiY8C3ctxq1tqvaCgkFb8cCA/edit?usp=sharing"",""นครพนม!J440"")"),1)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IFERROR(__xludf.DUMMYFUNCTION("IMPORTRANGE(""https://docs.google.com/spreadsheets/d/1XL5vhW3sbDhbH9Cz0tuDiY8C3ctxq1tqvaCgkFb8cCA/edit?usp=sharing"",""นครพนม!J441"")"),1)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IFERROR(__xludf.DUMMYFUNCTION("IMPORTRANGE(""https://docs.google.com/spreadsheets/d/1XL5vhW3sbDhbH9Cz0tuDiY8C3ctxq1tqvaCgkFb8cCA/edit?usp=sharing"",""นครพนม!I442"")"),22)</f>
        <v>22</v>
      </c>
      <c r="J547" s="189">
        <f ca="1">IFERROR(__xludf.DUMMYFUNCTION("IMPORTRANGE(""https://docs.google.com/spreadsheets/d/1XL5vhW3sbDhbH9Cz0tuDiY8C3ctxq1tqvaCgkFb8cCA/edit?usp=sharing"",""นครพนม!J442"")"),22)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IFERROR(__xludf.DUMMYFUNCTION("IMPORTRANGE(""https://docs.google.com/spreadsheets/d/1XL5vhW3sbDhbH9Cz0tuDiY8C3ctxq1tqvaCgkFb8cCA/edit?usp=sharing"",""นครพนม!J166"")"),0)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IFERROR(__xludf.DUMMYFUNCTION("IMPORTRANGE(""https://docs.google.com/spreadsheets/d/1XL5vhW3sbDhbH9Cz0tuDiY8C3ctxq1tqvaCgkFb8cCA/edit?usp=sharing"",""นครพนม!J444"")"),0)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IFERROR(__xludf.DUMMYFUNCTION("IMPORTRANGE(""https://docs.google.com/spreadsheets/d/1XL5vhW3sbDhbH9Cz0tuDiY8C3ctxq1tqvaCgkFb8cCA/edit?usp=sharing"",""นครพนม!J445"")"),0)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IFERROR(__xludf.DUMMYFUNCTION("IMPORTRANGE(""https://docs.google.com/spreadsheets/d/1XL5vhW3sbDhbH9Cz0tuDiY8C3ctxq1tqvaCgkFb8cCA/edit?usp=sharing"",""นครพนม!I446"")"),0)</f>
        <v>0</v>
      </c>
      <c r="J551" s="410">
        <f ca="1">IFERROR(__xludf.DUMMYFUNCTION("IMPORTRANGE(""https://docs.google.com/spreadsheets/d/1XL5vhW3sbDhbH9Cz0tuDiY8C3ctxq1tqvaCgkFb8cCA/edit?usp=sharing"",""นครพนม!J446"")"),0)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IFERROR(__xludf.DUMMYFUNCTION("IMPORTRANGE(""https://docs.google.com/spreadsheets/d/1XL5vhW3sbDhbH9Cz0tuDiY8C3ctxq1tqvaCgkFb8cCA/edit?usp=sharing"",""นครพนม!L446"")"),0)</f>
        <v>0</v>
      </c>
      <c r="M551" s="412"/>
      <c r="N551" s="412">
        <f ca="1">IFERROR(__xludf.DUMMYFUNCTION("IMPORTRANGE(""https://docs.google.com/spreadsheets/d/1XL5vhW3sbDhbH9Cz0tuDiY8C3ctxq1tqvaCgkFb8cCA/edit?usp=sharing"",""นครพนม!M446"")"),0)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IFERROR(__xludf.DUMMYFUNCTION("IMPORTRANGE(""https://docs.google.com/spreadsheets/d/1XL5vhW3sbDhbH9Cz0tuDiY8C3ctxq1tqvaCgkFb8cCA/edit?usp=sharing"",""นครพนม!L447"")"),0)</f>
        <v>0</v>
      </c>
      <c r="M552" s="164"/>
      <c r="N552" s="169">
        <f ca="1">IFERROR(__xludf.DUMMYFUNCTION("IMPORTRANGE(""https://docs.google.com/spreadsheets/d/1XL5vhW3sbDhbH9Cz0tuDiY8C3ctxq1tqvaCgkFb8cCA/edit?usp=sharing"",""นครพนม!M447"")"),0)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IFERROR(__xludf.DUMMYFUNCTION("IMPORTRANGE(""https://docs.google.com/spreadsheets/d/1XL5vhW3sbDhbH9Cz0tuDiY8C3ctxq1tqvaCgkFb8cCA/edit?usp=sharing"",""นครพนม!L448"")"),0)</f>
        <v>0</v>
      </c>
      <c r="M553" s="165"/>
      <c r="N553" s="169">
        <f ca="1">IFERROR(__xludf.DUMMYFUNCTION("IMPORTRANGE(""https://docs.google.com/spreadsheets/d/1XL5vhW3sbDhbH9Cz0tuDiY8C3ctxq1tqvaCgkFb8cCA/edit?usp=sharing"",""นครพนม!M448"")"),0)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IFERROR(__xludf.DUMMYFUNCTION("IMPORTRANGE(""https://docs.google.com/spreadsheets/d/1XL5vhW3sbDhbH9Cz0tuDiY8C3ctxq1tqvaCgkFb8cCA/edit?usp=sharing"",""นครพนม!L449"")"),0)</f>
        <v>0</v>
      </c>
      <c r="M554" s="169"/>
      <c r="N554" s="169">
        <f ca="1">IFERROR(__xludf.DUMMYFUNCTION("IMPORTRANGE(""https://docs.google.com/spreadsheets/d/1XL5vhW3sbDhbH9Cz0tuDiY8C3ctxq1tqvaCgkFb8cCA/edit?usp=sharing"",""นครพนม!M449"")"),0)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IFERROR(__xludf.DUMMYFUNCTION("IMPORTRANGE(""https://docs.google.com/spreadsheets/d/1XL5vhW3sbDhbH9Cz0tuDiY8C3ctxq1tqvaCgkFb8cCA/edit?usp=sharing"",""นครพนม!L450"")"),0)</f>
        <v>0</v>
      </c>
      <c r="M555" s="169"/>
      <c r="N555" s="169">
        <f ca="1">IFERROR(__xludf.DUMMYFUNCTION("IMPORTRANGE(""https://docs.google.com/spreadsheets/d/1XL5vhW3sbDhbH9Cz0tuDiY8C3ctxq1tqvaCgkFb8cCA/edit?usp=sharing"",""นครพนม!M450"")"),0)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IFERROR(__xludf.DUMMYFUNCTION("IMPORTRANGE(""https://docs.google.com/spreadsheets/d/1XL5vhW3sbDhbH9Cz0tuDiY8C3ctxq1tqvaCgkFb8cCA/edit?usp=sharing"",""นครพนม!M451"")"),0)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IFERROR(__xludf.DUMMYFUNCTION("IMPORTRANGE(""https://docs.google.com/spreadsheets/d/1XL5vhW3sbDhbH9Cz0tuDiY8C3ctxq1tqvaCgkFb8cCA/edit?usp=sharing"",""นครพนม!M452"")"),0)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IFERROR(__xludf.DUMMYFUNCTION("IMPORTRANGE(""https://docs.google.com/spreadsheets/d/1XL5vhW3sbDhbH9Cz0tuDiY8C3ctxq1tqvaCgkFb8cCA/edit?usp=sharing"",""นครพนม!M453"")"),0)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IFERROR(__xludf.DUMMYFUNCTION("IMPORTRANGE(""https://docs.google.com/spreadsheets/d/1XL5vhW3sbDhbH9Cz0tuDiY8C3ctxq1tqvaCgkFb8cCA/edit?usp=sharing"",""นครพนม!M454"")"),0)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IFERROR(__xludf.DUMMYFUNCTION("IMPORTRANGE(""https://docs.google.com/spreadsheets/d/1XL5vhW3sbDhbH9Cz0tuDiY8C3ctxq1tqvaCgkFb8cCA/edit?usp=sharing"",""นครพนม!I455"")"),0)</f>
        <v>0</v>
      </c>
      <c r="J560" s="162">
        <f ca="1">IFERROR(__xludf.DUMMYFUNCTION("IMPORTRANGE(""https://docs.google.com/spreadsheets/d/1XL5vhW3sbDhbH9Cz0tuDiY8C3ctxq1tqvaCgkFb8cCA/edit?usp=sharing"",""นครพนม!J455"")"),0)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IFERROR(__xludf.DUMMYFUNCTION("IMPORTRANGE(""https://docs.google.com/spreadsheets/d/1XL5vhW3sbDhbH9Cz0tuDiY8C3ctxq1tqvaCgkFb8cCA/edit?usp=sharing"",""นครพนม!I456"")"),0)</f>
        <v>0</v>
      </c>
      <c r="J561" s="204">
        <f ca="1">IFERROR(__xludf.DUMMYFUNCTION("IMPORTRANGE(""https://docs.google.com/spreadsheets/d/1XL5vhW3sbDhbH9Cz0tuDiY8C3ctxq1tqvaCgkFb8cCA/edit?usp=sharing"",""นครพนม!J456"")"),0)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IFERROR(__xludf.DUMMYFUNCTION("IMPORTRANGE(""https://docs.google.com/spreadsheets/d/1XL5vhW3sbDhbH9Cz0tuDiY8C3ctxq1tqvaCgkFb8cCA/edit?usp=sharing"",""นครพนม!I459"")"),1200)</f>
        <v>1200</v>
      </c>
      <c r="J564" s="371">
        <f ca="1">IFERROR(__xludf.DUMMYFUNCTION("IMPORTRANGE(""https://docs.google.com/spreadsheets/d/1XL5vhW3sbDhbH9Cz0tuDiY8C3ctxq1tqvaCgkFb8cCA/edit?usp=sharing"",""นครพนม!J459"")"),1373)</f>
        <v>1373</v>
      </c>
      <c r="K564" s="372">
        <f ca="1">IF(I564&gt;0,J564*100/I564,0)</f>
        <v>114.41666666666667</v>
      </c>
      <c r="L564" s="373">
        <f ca="1">IFERROR(__xludf.DUMMYFUNCTION("IMPORTRANGE(""https://docs.google.com/spreadsheets/d/1XL5vhW3sbDhbH9Cz0tuDiY8C3ctxq1tqvaCgkFb8cCA/edit?usp=sharing"",""นครพนม!L459"")"),128480)</f>
        <v>128480</v>
      </c>
      <c r="M564" s="373"/>
      <c r="N564" s="373">
        <f ca="1">IFERROR(__xludf.DUMMYFUNCTION("IMPORTRANGE(""https://docs.google.com/spreadsheets/d/1XL5vhW3sbDhbH9Cz0tuDiY8C3ctxq1tqvaCgkFb8cCA/edit?usp=sharing"",""นครพนม!M459"")"),53416.16)</f>
        <v>53416.160000000003</v>
      </c>
      <c r="O564" s="373">
        <f t="shared" ref="O564:O568" ca="1" si="122">+IF(L564&gt;0,N564*100/L564,0)</f>
        <v>41.575466998754671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IFERROR(__xludf.DUMMYFUNCTION("IMPORTRANGE(""https://docs.google.com/spreadsheets/d/1XL5vhW3sbDhbH9Cz0tuDiY8C3ctxq1tqvaCgkFb8cCA/edit?usp=sharing"",""นครพนม!L460"")"),0)</f>
        <v>0</v>
      </c>
      <c r="M565" s="164"/>
      <c r="N565" s="169">
        <f ca="1">IFERROR(__xludf.DUMMYFUNCTION("IMPORTRANGE(""https://docs.google.com/spreadsheets/d/1XL5vhW3sbDhbH9Cz0tuDiY8C3ctxq1tqvaCgkFb8cCA/edit?usp=sharing"",""นครพนม!M460"")"),0)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IFERROR(__xludf.DUMMYFUNCTION("IMPORTRANGE(""https://docs.google.com/spreadsheets/d/1XL5vhW3sbDhbH9Cz0tuDiY8C3ctxq1tqvaCgkFb8cCA/edit?usp=sharing"",""นครพนม!L461"")"),128480)</f>
        <v>128480</v>
      </c>
      <c r="M566" s="165"/>
      <c r="N566" s="169">
        <f ca="1">IFERROR(__xludf.DUMMYFUNCTION("IMPORTRANGE(""https://docs.google.com/spreadsheets/d/1XL5vhW3sbDhbH9Cz0tuDiY8C3ctxq1tqvaCgkFb8cCA/edit?usp=sharing"",""นครพนม!M461"")"),53416.16)</f>
        <v>53416.160000000003</v>
      </c>
      <c r="O566" s="169">
        <f t="shared" ca="1" si="122"/>
        <v>41.575466998754671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IFERROR(__xludf.DUMMYFUNCTION("IMPORTRANGE(""https://docs.google.com/spreadsheets/d/1XL5vhW3sbDhbH9Cz0tuDiY8C3ctxq1tqvaCgkFb8cCA/edit?usp=sharing"",""นครพนม!L462"")"),0)</f>
        <v>0</v>
      </c>
      <c r="M567" s="169"/>
      <c r="N567" s="169">
        <f ca="1">IFERROR(__xludf.DUMMYFUNCTION("IMPORTRANGE(""https://docs.google.com/spreadsheets/d/1XL5vhW3sbDhbH9Cz0tuDiY8C3ctxq1tqvaCgkFb8cCA/edit?usp=sharing"",""นครพนม!M462"")"),0)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IFERROR(__xludf.DUMMYFUNCTION("IMPORTRANGE(""https://docs.google.com/spreadsheets/d/1XL5vhW3sbDhbH9Cz0tuDiY8C3ctxq1tqvaCgkFb8cCA/edit?usp=sharing"",""นครพนม!L463"")"),128480)</f>
        <v>128480</v>
      </c>
      <c r="M568" s="169"/>
      <c r="N568" s="169">
        <f ca="1">IFERROR(__xludf.DUMMYFUNCTION("IMPORTRANGE(""https://docs.google.com/spreadsheets/d/1XL5vhW3sbDhbH9Cz0tuDiY8C3ctxq1tqvaCgkFb8cCA/edit?usp=sharing"",""นครพนม!M463"")"),53416.16)</f>
        <v>53416.160000000003</v>
      </c>
      <c r="O568" s="169">
        <f t="shared" ca="1" si="122"/>
        <v>41.575466998754671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IFERROR(__xludf.DUMMYFUNCTION("IMPORTRANGE(""https://docs.google.com/spreadsheets/d/1XL5vhW3sbDhbH9Cz0tuDiY8C3ctxq1tqvaCgkFb8cCA/edit?usp=sharing"",""นครพนม!M464"")"),0)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IFERROR(__xludf.DUMMYFUNCTION("IMPORTRANGE(""https://docs.google.com/spreadsheets/d/1XL5vhW3sbDhbH9Cz0tuDiY8C3ctxq1tqvaCgkFb8cCA/edit?usp=sharing"",""นครพนม!M465"")"),0)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IFERROR(__xludf.DUMMYFUNCTION("IMPORTRANGE(""https://docs.google.com/spreadsheets/d/1XL5vhW3sbDhbH9Cz0tuDiY8C3ctxq1tqvaCgkFb8cCA/edit?usp=sharing"",""นครพนม!M466"")"),52516.16)</f>
        <v>52516.160000000003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IFERROR(__xludf.DUMMYFUNCTION("IMPORTRANGE(""https://docs.google.com/spreadsheets/d/1XL5vhW3sbDhbH9Cz0tuDiY8C3ctxq1tqvaCgkFb8cCA/edit?usp=sharing"",""นครพนม!M467"")"),900)</f>
        <v>900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IFERROR(__xludf.DUMMYFUNCTION("IMPORTRANGE(""https://docs.google.com/spreadsheets/d/1XL5vhW3sbDhbH9Cz0tuDiY8C3ctxq1tqvaCgkFb8cCA/edit?usp=sharing"",""นครพนม!I468"")"),1200)</f>
        <v>1200</v>
      </c>
      <c r="J573" s="420">
        <f ca="1">IFERROR(__xludf.DUMMYFUNCTION("IMPORTRANGE(""https://docs.google.com/spreadsheets/d/1XL5vhW3sbDhbH9Cz0tuDiY8C3ctxq1tqvaCgkFb8cCA/edit?usp=sharing"",""นครพนม!J468"")"),1373)</f>
        <v>1373</v>
      </c>
      <c r="K573" s="202">
        <f ca="1">IF(I573&gt;0,J573*100/I573,0)</f>
        <v>114.41666666666667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IFERROR(__xludf.DUMMYFUNCTION("IMPORTRANGE(""https://docs.google.com/spreadsheets/d/1XL5vhW3sbDhbH9Cz0tuDiY8C3ctxq1tqvaCgkFb8cCA/edit?usp=sharing"",""นครพนม!I470"")"),0)</f>
        <v>0</v>
      </c>
      <c r="J575" s="198">
        <f ca="1">IFERROR(__xludf.DUMMYFUNCTION("IMPORTRANGE(""https://docs.google.com/spreadsheets/d/1XL5vhW3sbDhbH9Cz0tuDiY8C3ctxq1tqvaCgkFb8cCA/edit?usp=sharing"",""นครพนม!J470"")"),1)</f>
        <v>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IFERROR(__xludf.DUMMYFUNCTION("IMPORTRANGE(""https://docs.google.com/spreadsheets/d/1XL5vhW3sbDhbH9Cz0tuDiY8C3ctxq1tqvaCgkFb8cCA/edit?usp=sharing"",""นครพนม!I471"")"),0)</f>
        <v>0</v>
      </c>
      <c r="J576" s="198">
        <f ca="1">IFERROR(__xludf.DUMMYFUNCTION("IMPORTRANGE(""https://docs.google.com/spreadsheets/d/1XL5vhW3sbDhbH9Cz0tuDiY8C3ctxq1tqvaCgkFb8cCA/edit?usp=sharing"",""นครพนม!J471"")"),138)</f>
        <v>138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IFERROR(__xludf.DUMMYFUNCTION("IMPORTRANGE(""https://docs.google.com/spreadsheets/d/1XL5vhW3sbDhbH9Cz0tuDiY8C3ctxq1tqvaCgkFb8cCA/edit?usp=sharing"",""นครพนม!I472"")"),0)</f>
        <v>0</v>
      </c>
      <c r="J577" s="189">
        <f ca="1">IFERROR(__xludf.DUMMYFUNCTION("IMPORTRANGE(""https://docs.google.com/spreadsheets/d/1XL5vhW3sbDhbH9Cz0tuDiY8C3ctxq1tqvaCgkFb8cCA/edit?usp=sharing"",""นครพนม!J472"")"),1235)</f>
        <v>1235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IFERROR(__xludf.DUMMYFUNCTION("IMPORTRANGE(""https://docs.google.com/spreadsheets/d/1XL5vhW3sbDhbH9Cz0tuDiY8C3ctxq1tqvaCgkFb8cCA/edit?usp=sharing"",""นครพนม!I473"")"),0)</f>
        <v>0</v>
      </c>
      <c r="J578" s="198">
        <f ca="1">IFERROR(__xludf.DUMMYFUNCTION("IMPORTRANGE(""https://docs.google.com/spreadsheets/d/1XL5vhW3sbDhbH9Cz0tuDiY8C3ctxq1tqvaCgkFb8cCA/edit?usp=sharing"",""นครพนม!J473"")"),0)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IFERROR(__xludf.DUMMYFUNCTION("IMPORTRANGE(""https://docs.google.com/spreadsheets/d/1XL5vhW3sbDhbH9Cz0tuDiY8C3ctxq1tqvaCgkFb8cCA/edit?usp=sharing"",""นครพนม!I474"")"),0)</f>
        <v>0</v>
      </c>
      <c r="J579" s="198">
        <f ca="1">IFERROR(__xludf.DUMMYFUNCTION("IMPORTRANGE(""https://docs.google.com/spreadsheets/d/1XL5vhW3sbDhbH9Cz0tuDiY8C3ctxq1tqvaCgkFb8cCA/edit?usp=sharing"",""นครพนม!J474"")"),0)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IFERROR(__xludf.DUMMYFUNCTION("IMPORTRANGE(""https://docs.google.com/spreadsheets/d/1XL5vhW3sbDhbH9Cz0tuDiY8C3ctxq1tqvaCgkFb8cCA/edit?usp=sharing"",""นครพนม!I475"")"),0)</f>
        <v>0</v>
      </c>
      <c r="J580" s="371">
        <f ca="1">IFERROR(__xludf.DUMMYFUNCTION("IMPORTRANGE(""https://docs.google.com/spreadsheets/d/1XL5vhW3sbDhbH9Cz0tuDiY8C3ctxq1tqvaCgkFb8cCA/edit?usp=sharing"",""นครพนม!J475"")"),0)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IFERROR(__xludf.DUMMYFUNCTION("IMPORTRANGE(""https://docs.google.com/spreadsheets/d/1XL5vhW3sbDhbH9Cz0tuDiY8C3ctxq1tqvaCgkFb8cCA/edit?usp=sharing"",""นครพนม!L475"")"),0)</f>
        <v>0</v>
      </c>
      <c r="M580" s="373"/>
      <c r="N580" s="373">
        <f ca="1">IFERROR(__xludf.DUMMYFUNCTION("IMPORTRANGE(""https://docs.google.com/spreadsheets/d/1XL5vhW3sbDhbH9Cz0tuDiY8C3ctxq1tqvaCgkFb8cCA/edit?usp=sharing"",""นครพนม!M475"")"),0)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IFERROR(__xludf.DUMMYFUNCTION("IMPORTRANGE(""https://docs.google.com/spreadsheets/d/1XL5vhW3sbDhbH9Cz0tuDiY8C3ctxq1tqvaCgkFb8cCA/edit?usp=sharing"",""นครพนม!L476"")"),0)</f>
        <v>0</v>
      </c>
      <c r="M581" s="164"/>
      <c r="N581" s="169">
        <f ca="1">IFERROR(__xludf.DUMMYFUNCTION("IMPORTRANGE(""https://docs.google.com/spreadsheets/d/1XL5vhW3sbDhbH9Cz0tuDiY8C3ctxq1tqvaCgkFb8cCA/edit?usp=sharing"",""นครพนม!M476"")"),0)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IFERROR(__xludf.DUMMYFUNCTION("IMPORTRANGE(""https://docs.google.com/spreadsheets/d/1XL5vhW3sbDhbH9Cz0tuDiY8C3ctxq1tqvaCgkFb8cCA/edit?usp=sharing"",""นครพนม!L477"")"),0)</f>
        <v>0</v>
      </c>
      <c r="M582" s="165"/>
      <c r="N582" s="169">
        <f ca="1">IFERROR(__xludf.DUMMYFUNCTION("IMPORTRANGE(""https://docs.google.com/spreadsheets/d/1XL5vhW3sbDhbH9Cz0tuDiY8C3ctxq1tqvaCgkFb8cCA/edit?usp=sharing"",""นครพนม!M477"")"),0)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IFERROR(__xludf.DUMMYFUNCTION("IMPORTRANGE(""https://docs.google.com/spreadsheets/d/1XL5vhW3sbDhbH9Cz0tuDiY8C3ctxq1tqvaCgkFb8cCA/edit?usp=sharing"",""นครพนม!L478"")"),0)</f>
        <v>0</v>
      </c>
      <c r="M583" s="169"/>
      <c r="N583" s="169">
        <f ca="1">IFERROR(__xludf.DUMMYFUNCTION("IMPORTRANGE(""https://docs.google.com/spreadsheets/d/1XL5vhW3sbDhbH9Cz0tuDiY8C3ctxq1tqvaCgkFb8cCA/edit?usp=sharing"",""นครพนม!M478"")"),0)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IFERROR(__xludf.DUMMYFUNCTION("IMPORTRANGE(""https://docs.google.com/spreadsheets/d/1XL5vhW3sbDhbH9Cz0tuDiY8C3ctxq1tqvaCgkFb8cCA/edit?usp=sharing"",""นครพนม!L479"")"),0)</f>
        <v>0</v>
      </c>
      <c r="M584" s="169"/>
      <c r="N584" s="169">
        <f ca="1">IFERROR(__xludf.DUMMYFUNCTION("IMPORTRANGE(""https://docs.google.com/spreadsheets/d/1XL5vhW3sbDhbH9Cz0tuDiY8C3ctxq1tqvaCgkFb8cCA/edit?usp=sharing"",""นครพนม!M479"")"),0)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IFERROR(__xludf.DUMMYFUNCTION("IMPORTRANGE(""https://docs.google.com/spreadsheets/d/1XL5vhW3sbDhbH9Cz0tuDiY8C3ctxq1tqvaCgkFb8cCA/edit?usp=sharing"",""นครพนม!M480"")"),0)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IFERROR(__xludf.DUMMYFUNCTION("IMPORTRANGE(""https://docs.google.com/spreadsheets/d/1XL5vhW3sbDhbH9Cz0tuDiY8C3ctxq1tqvaCgkFb8cCA/edit?usp=sharing"",""นครพนม!M481"")"),0)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IFERROR(__xludf.DUMMYFUNCTION("IMPORTRANGE(""https://docs.google.com/spreadsheets/d/1XL5vhW3sbDhbH9Cz0tuDiY8C3ctxq1tqvaCgkFb8cCA/edit?usp=sharing"",""นครพนม!M482"")"),0)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IFERROR(__xludf.DUMMYFUNCTION("IMPORTRANGE(""https://docs.google.com/spreadsheets/d/1XL5vhW3sbDhbH9Cz0tuDiY8C3ctxq1tqvaCgkFb8cCA/edit?usp=sharing"",""นครพนม!M483"")"),0)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IFERROR(__xludf.DUMMYFUNCTION("IMPORTRANGE(""https://docs.google.com/spreadsheets/d/1XL5vhW3sbDhbH9Cz0tuDiY8C3ctxq1tqvaCgkFb8cCA/edit?usp=sharing"",""นครพนม!I484"")"),0)</f>
        <v>0</v>
      </c>
      <c r="J589" s="188">
        <f ca="1">IFERROR(__xludf.DUMMYFUNCTION("IMPORTRANGE(""https://docs.google.com/spreadsheets/d/1XL5vhW3sbDhbH9Cz0tuDiY8C3ctxq1tqvaCgkFb8cCA/edit?usp=sharing"",""นครพนม!J484"")"),7)</f>
        <v>7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IFERROR(__xludf.DUMMYFUNCTION("IMPORTRANGE(""https://docs.google.com/spreadsheets/d/1XL5vhW3sbDhbH9Cz0tuDiY8C3ctxq1tqvaCgkFb8cCA/edit?usp=sharing"",""นครพนม!I485"")"),0)</f>
        <v>0</v>
      </c>
      <c r="J590" s="188">
        <f ca="1">IFERROR(__xludf.DUMMYFUNCTION("IMPORTRANGE(""https://docs.google.com/spreadsheets/d/1XL5vhW3sbDhbH9Cz0tuDiY8C3ctxq1tqvaCgkFb8cCA/edit?usp=sharing"",""นครพนม!J485"")"),2.85)</f>
        <v>2.85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IFERROR(__xludf.DUMMYFUNCTION("IMPORTRANGE(""https://docs.google.com/spreadsheets/d/1XL5vhW3sbDhbH9Cz0tuDiY8C3ctxq1tqvaCgkFb8cCA/edit?usp=sharing"",""นครพนม!I486"")"),0)</f>
        <v>0</v>
      </c>
      <c r="J591" s="188">
        <f ca="1">IFERROR(__xludf.DUMMYFUNCTION("IMPORTRANGE(""https://docs.google.com/spreadsheets/d/1XL5vhW3sbDhbH9Cz0tuDiY8C3ctxq1tqvaCgkFb8cCA/edit?usp=sharing"",""นครพนม!J486"")"),1)</f>
        <v>1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IFERROR(__xludf.DUMMYFUNCTION("IMPORTRANGE(""https://docs.google.com/spreadsheets/d/1XL5vhW3sbDhbH9Cz0tuDiY8C3ctxq1tqvaCgkFb8cCA/edit?usp=sharing"",""นครพนม!I487"")"),0)</f>
        <v>0</v>
      </c>
      <c r="J592" s="188">
        <f ca="1">IFERROR(__xludf.DUMMYFUNCTION("IMPORTRANGE(""https://docs.google.com/spreadsheets/d/1XL5vhW3sbDhbH9Cz0tuDiY8C3ctxq1tqvaCgkFb8cCA/edit?usp=sharing"",""นครพนม!J487"")"),0.15)</f>
        <v>0.15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IFERROR(__xludf.DUMMYFUNCTION("IMPORTRANGE(""https://docs.google.com/spreadsheets/d/1XL5vhW3sbDhbH9Cz0tuDiY8C3ctxq1tqvaCgkFb8cCA/edit?usp=sharing"",""นครพนม!I488"")"),0)</f>
        <v>0</v>
      </c>
      <c r="J593" s="188">
        <f ca="1">IFERROR(__xludf.DUMMYFUNCTION("IMPORTRANGE(""https://docs.google.com/spreadsheets/d/1XL5vhW3sbDhbH9Cz0tuDiY8C3ctxq1tqvaCgkFb8cCA/edit?usp=sharing"",""นครพนม!J488"")"),0)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IFERROR(__xludf.DUMMYFUNCTION("IMPORTRANGE(""https://docs.google.com/spreadsheets/d/1XL5vhW3sbDhbH9Cz0tuDiY8C3ctxq1tqvaCgkFb8cCA/edit?usp=sharing"",""นครพนม!I489"")"),0)</f>
        <v>0</v>
      </c>
      <c r="J594" s="188">
        <f ca="1">IFERROR(__xludf.DUMMYFUNCTION("IMPORTRANGE(""https://docs.google.com/spreadsheets/d/1XL5vhW3sbDhbH9Cz0tuDiY8C3ctxq1tqvaCgkFb8cCA/edit?usp=sharing"",""นครพนม!J489"")"),0)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IFERROR(__xludf.DUMMYFUNCTION("IMPORTRANGE(""https://docs.google.com/spreadsheets/d/1XL5vhW3sbDhbH9Cz0tuDiY8C3ctxq1tqvaCgkFb8cCA/edit?usp=sharing"",""นครพนม!I490"")"),0)</f>
        <v>0</v>
      </c>
      <c r="J595" s="188">
        <f ca="1">IFERROR(__xludf.DUMMYFUNCTION("IMPORTRANGE(""https://docs.google.com/spreadsheets/d/1XL5vhW3sbDhbH9Cz0tuDiY8C3ctxq1tqvaCgkFb8cCA/edit?usp=sharing"",""นครพนม!J490"")"),0)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IFERROR(__xludf.DUMMYFUNCTION("IMPORTRANGE(""https://docs.google.com/spreadsheets/d/1XL5vhW3sbDhbH9Cz0tuDiY8C3ctxq1tqvaCgkFb8cCA/edit?usp=sharing"",""นครพนม!I491"")"),0)</f>
        <v>0</v>
      </c>
      <c r="J596" s="241">
        <f ca="1">IFERROR(__xludf.DUMMYFUNCTION("IMPORTRANGE(""https://docs.google.com/spreadsheets/d/1XL5vhW3sbDhbH9Cz0tuDiY8C3ctxq1tqvaCgkFb8cCA/edit?usp=sharing"",""นครพนม!J491"")"),0)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IFERROR(__xludf.DUMMYFUNCTION("IMPORTRANGE(""https://docs.google.com/spreadsheets/d/1XL5vhW3sbDhbH9Cz0tuDiY8C3ctxq1tqvaCgkFb8cCA/edit?usp=sharing"",""นครพนม!I492"")"),100)</f>
        <v>100</v>
      </c>
      <c r="J597" s="487">
        <f ca="1">IFERROR(__xludf.DUMMYFUNCTION("IMPORTRANGE(""https://docs.google.com/spreadsheets/d/1XL5vhW3sbDhbH9Cz0tuDiY8C3ctxq1tqvaCgkFb8cCA/edit?usp=sharing"",""นครพนม!J492"")"),0)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IFERROR(__xludf.DUMMYFUNCTION("IMPORTRANGE(""https://docs.google.com/spreadsheets/d/1XL5vhW3sbDhbH9Cz0tuDiY8C3ctxq1tqvaCgkFb8cCA/edit?usp=sharing"",""นครพนม!L492"")"),16100)</f>
        <v>16100</v>
      </c>
      <c r="M597" s="412"/>
      <c r="N597" s="412">
        <f ca="1">IFERROR(__xludf.DUMMYFUNCTION("IMPORTRANGE(""https://docs.google.com/spreadsheets/d/1XL5vhW3sbDhbH9Cz0tuDiY8C3ctxq1tqvaCgkFb8cCA/edit?usp=sharing"",""นครพนม!M492"")"),1350)</f>
        <v>1350</v>
      </c>
      <c r="O597" s="412">
        <f t="shared" ref="O597:O601" ca="1" si="126">+IF(L597&gt;0,N597*100/L597,0)</f>
        <v>8.3850931677018625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IFERROR(__xludf.DUMMYFUNCTION("IMPORTRANGE(""https://docs.google.com/spreadsheets/d/1XL5vhW3sbDhbH9Cz0tuDiY8C3ctxq1tqvaCgkFb8cCA/edit?usp=sharing"",""นครพนม!L493"")"),0)</f>
        <v>0</v>
      </c>
      <c r="M598" s="164"/>
      <c r="N598" s="169">
        <f ca="1">IFERROR(__xludf.DUMMYFUNCTION("IMPORTRANGE(""https://docs.google.com/spreadsheets/d/1XL5vhW3sbDhbH9Cz0tuDiY8C3ctxq1tqvaCgkFb8cCA/edit?usp=sharing"",""นครพนม!M493"")"),0)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IFERROR(__xludf.DUMMYFUNCTION("IMPORTRANGE(""https://docs.google.com/spreadsheets/d/1XL5vhW3sbDhbH9Cz0tuDiY8C3ctxq1tqvaCgkFb8cCA/edit?usp=sharing"",""นครพนม!L494"")"),16100)</f>
        <v>16100</v>
      </c>
      <c r="M599" s="165"/>
      <c r="N599" s="169">
        <f ca="1">IFERROR(__xludf.DUMMYFUNCTION("IMPORTRANGE(""https://docs.google.com/spreadsheets/d/1XL5vhW3sbDhbH9Cz0tuDiY8C3ctxq1tqvaCgkFb8cCA/edit?usp=sharing"",""นครพนม!M494"")"),1350)</f>
        <v>1350</v>
      </c>
      <c r="O599" s="169">
        <f t="shared" ca="1" si="126"/>
        <v>8.3850931677018625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IFERROR(__xludf.DUMMYFUNCTION("IMPORTRANGE(""https://docs.google.com/spreadsheets/d/1XL5vhW3sbDhbH9Cz0tuDiY8C3ctxq1tqvaCgkFb8cCA/edit?usp=sharing"",""นครพนม!L495"")"),0)</f>
        <v>0</v>
      </c>
      <c r="M600" s="169"/>
      <c r="N600" s="169">
        <f ca="1">IFERROR(__xludf.DUMMYFUNCTION("IMPORTRANGE(""https://docs.google.com/spreadsheets/d/1XL5vhW3sbDhbH9Cz0tuDiY8C3ctxq1tqvaCgkFb8cCA/edit?usp=sharing"",""นครพนม!M495"")"),0)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IFERROR(__xludf.DUMMYFUNCTION("IMPORTRANGE(""https://docs.google.com/spreadsheets/d/1XL5vhW3sbDhbH9Cz0tuDiY8C3ctxq1tqvaCgkFb8cCA/edit?usp=sharing"",""นครพนม!L496"")"),16100)</f>
        <v>16100</v>
      </c>
      <c r="M601" s="169"/>
      <c r="N601" s="169">
        <f ca="1">IFERROR(__xludf.DUMMYFUNCTION("IMPORTRANGE(""https://docs.google.com/spreadsheets/d/1XL5vhW3sbDhbH9Cz0tuDiY8C3ctxq1tqvaCgkFb8cCA/edit?usp=sharing"",""นครพนม!M496"")"),1350)</f>
        <v>1350</v>
      </c>
      <c r="O601" s="169">
        <f t="shared" ca="1" si="126"/>
        <v>8.3850931677018625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IFERROR(__xludf.DUMMYFUNCTION("IMPORTRANGE(""https://docs.google.com/spreadsheets/d/1XL5vhW3sbDhbH9Cz0tuDiY8C3ctxq1tqvaCgkFb8cCA/edit?usp=sharing"",""นครพนม!M497"")"),0)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IFERROR(__xludf.DUMMYFUNCTION("IMPORTRANGE(""https://docs.google.com/spreadsheets/d/1XL5vhW3sbDhbH9Cz0tuDiY8C3ctxq1tqvaCgkFb8cCA/edit?usp=sharing"",""นครพนม!M498"")"),0)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IFERROR(__xludf.DUMMYFUNCTION("IMPORTRANGE(""https://docs.google.com/spreadsheets/d/1XL5vhW3sbDhbH9Cz0tuDiY8C3ctxq1tqvaCgkFb8cCA/edit?usp=sharing"",""นครพนม!M499"")"),0)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IFERROR(__xludf.DUMMYFUNCTION("IMPORTRANGE(""https://docs.google.com/spreadsheets/d/1XL5vhW3sbDhbH9Cz0tuDiY8C3ctxq1tqvaCgkFb8cCA/edit?usp=sharing"",""นครพนม!M500"")"),1350)</f>
        <v>1350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IFERROR(__xludf.DUMMYFUNCTION("IMPORTRANGE(""https://docs.google.com/spreadsheets/d/1XL5vhW3sbDhbH9Cz0tuDiY8C3ctxq1tqvaCgkFb8cCA/edit?usp=sharing"",""นครพนม!J502"")"),0)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IFERROR(__xludf.DUMMYFUNCTION("IMPORTRANGE(""https://docs.google.com/spreadsheets/d/1XL5vhW3sbDhbH9Cz0tuDiY8C3ctxq1tqvaCgkFb8cCA/edit?usp=sharing"",""นครพนม!J503"")"),1)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IFERROR(__xludf.DUMMYFUNCTION("IMPORTRANGE(""https://docs.google.com/spreadsheets/d/1XL5vhW3sbDhbH9Cz0tuDiY8C3ctxq1tqvaCgkFb8cCA/edit?usp=sharing"",""นครพนม!J166"")"),0)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IFERROR(__xludf.DUMMYFUNCTION("IMPORTRANGE(""https://docs.google.com/spreadsheets/d/1XL5vhW3sbDhbH9Cz0tuDiY8C3ctxq1tqvaCgkFb8cCA/edit?usp=sharing"",""นครพนม!J166"")"),0)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IFERROR(__xludf.DUMMYFUNCTION("IMPORTRANGE(""https://docs.google.com/spreadsheets/d/1XL5vhW3sbDhbH9Cz0tuDiY8C3ctxq1tqvaCgkFb8cCA/edit?usp=sharing"",""นครพนม!I506"")"),100)</f>
        <v>100</v>
      </c>
      <c r="J611" s="162">
        <f ca="1">IFERROR(__xludf.DUMMYFUNCTION("IMPORTRANGE(""https://docs.google.com/spreadsheets/d/1XL5vhW3sbDhbH9Cz0tuDiY8C3ctxq1tqvaCgkFb8cCA/edit?usp=sharing"",""นครพนม!J506"")"),0)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IFERROR(__xludf.DUMMYFUNCTION("IMPORTRANGE(""https://docs.google.com/spreadsheets/d/1XL5vhW3sbDhbH9Cz0tuDiY8C3ctxq1tqvaCgkFb8cCA/edit?usp=sharing"",""นครพนม!I507"")"),0)</f>
        <v>0</v>
      </c>
      <c r="J612" s="198">
        <f ca="1">IFERROR(__xludf.DUMMYFUNCTION("IMPORTRANGE(""https://docs.google.com/spreadsheets/d/1XL5vhW3sbDhbH9Cz0tuDiY8C3ctxq1tqvaCgkFb8cCA/edit?usp=sharing"",""นครพนม!J507"")"),35)</f>
        <v>35</v>
      </c>
      <c r="K612" s="163">
        <f t="shared" ca="1" si="127"/>
        <v>35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IFERROR(__xludf.DUMMYFUNCTION("IMPORTRANGE(""https://docs.google.com/spreadsheets/d/1XL5vhW3sbDhbH9Cz0tuDiY8C3ctxq1tqvaCgkFb8cCA/edit?usp=sharing"",""นครพนม!I508"")"),0)</f>
        <v>0</v>
      </c>
      <c r="J613" s="198">
        <f ca="1">IFERROR(__xludf.DUMMYFUNCTION("IMPORTRANGE(""https://docs.google.com/spreadsheets/d/1XL5vhW3sbDhbH9Cz0tuDiY8C3ctxq1tqvaCgkFb8cCA/edit?usp=sharing"",""นครพนม!J508"")"),35)</f>
        <v>35</v>
      </c>
      <c r="K613" s="163">
        <f t="shared" ca="1" si="127"/>
        <v>35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IFERROR(__xludf.DUMMYFUNCTION("IMPORTRANGE(""https://docs.google.com/spreadsheets/d/1XL5vhW3sbDhbH9Cz0tuDiY8C3ctxq1tqvaCgkFb8cCA/edit?usp=sharing"",""นครพนม!I509"")"),0)</f>
        <v>0</v>
      </c>
      <c r="J614" s="198">
        <f ca="1">IFERROR(__xludf.DUMMYFUNCTION("IMPORTRANGE(""https://docs.google.com/spreadsheets/d/1XL5vhW3sbDhbH9Cz0tuDiY8C3ctxq1tqvaCgkFb8cCA/edit?usp=sharing"",""นครพนม!J509"")"),35)</f>
        <v>35</v>
      </c>
      <c r="K614" s="163">
        <f t="shared" ca="1" si="127"/>
        <v>35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IFERROR(__xludf.DUMMYFUNCTION("IMPORTRANGE(""https://docs.google.com/spreadsheets/d/1XL5vhW3sbDhbH9Cz0tuDiY8C3ctxq1tqvaCgkFb8cCA/edit?usp=sharing"",""นครพนม!I510"")"),0)</f>
        <v>0</v>
      </c>
      <c r="J615" s="198">
        <f ca="1">IFERROR(__xludf.DUMMYFUNCTION("IMPORTRANGE(""https://docs.google.com/spreadsheets/d/1XL5vhW3sbDhbH9Cz0tuDiY8C3ctxq1tqvaCgkFb8cCA/edit?usp=sharing"",""นครพนม!J510"")"),35)</f>
        <v>35</v>
      </c>
      <c r="K615" s="163">
        <f t="shared" ca="1" si="127"/>
        <v>35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IFERROR(__xludf.DUMMYFUNCTION("IMPORTRANGE(""https://docs.google.com/spreadsheets/d/1XL5vhW3sbDhbH9Cz0tuDiY8C3ctxq1tqvaCgkFb8cCA/edit?usp=sharing"",""นครพนม!I511"")"),0)</f>
        <v>0</v>
      </c>
      <c r="J616" s="198">
        <f ca="1">IFERROR(__xludf.DUMMYFUNCTION("IMPORTRANGE(""https://docs.google.com/spreadsheets/d/1XL5vhW3sbDhbH9Cz0tuDiY8C3ctxq1tqvaCgkFb8cCA/edit?usp=sharing"",""นครพนม!J511"")"),0)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IFERROR(__xludf.DUMMYFUNCTION("IMPORTRANGE(""https://docs.google.com/spreadsheets/d/1XL5vhW3sbDhbH9Cz0tuDiY8C3ctxq1tqvaCgkFb8cCA/edit?usp=sharing"",""นครพนม!I512"")"),0)</f>
        <v>0</v>
      </c>
      <c r="J617" s="188">
        <f ca="1">IFERROR(__xludf.DUMMYFUNCTION("IMPORTRANGE(""https://docs.google.com/spreadsheets/d/1XL5vhW3sbDhbH9Cz0tuDiY8C3ctxq1tqvaCgkFb8cCA/edit?usp=sharing"",""นครพนม!J512"")"),0)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IFERROR(__xludf.DUMMYFUNCTION("IMPORTRANGE(""https://docs.google.com/spreadsheets/d/1XL5vhW3sbDhbH9Cz0tuDiY8C3ctxq1tqvaCgkFb8cCA/edit?usp=sharing"",""นครพนม!I513"")"),0)</f>
        <v>0</v>
      </c>
      <c r="J618" s="189">
        <f ca="1">IFERROR(__xludf.DUMMYFUNCTION("IMPORTRANGE(""https://docs.google.com/spreadsheets/d/1XL5vhW3sbDhbH9Cz0tuDiY8C3ctxq1tqvaCgkFb8cCA/edit?usp=sharing"",""นครพนม!J513"")"),0)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IFERROR(__xludf.DUMMYFUNCTION("IMPORTRANGE(""https://docs.google.com/spreadsheets/d/1XL5vhW3sbDhbH9Cz0tuDiY8C3ctxq1tqvaCgkFb8cCA/edit?usp=sharing"",""นครพนม!I514"")"),0)</f>
        <v>0</v>
      </c>
      <c r="J619" s="189">
        <f ca="1">IFERROR(__xludf.DUMMYFUNCTION("IMPORTRANGE(""https://docs.google.com/spreadsheets/d/1XL5vhW3sbDhbH9Cz0tuDiY8C3ctxq1tqvaCgkFb8cCA/edit?usp=sharing"",""นครพนม!J514"")"),0)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IFERROR(__xludf.DUMMYFUNCTION("IMPORTRANGE(""https://docs.google.com/spreadsheets/d/1XL5vhW3sbDhbH9Cz0tuDiY8C3ctxq1tqvaCgkFb8cCA/edit?usp=sharing"",""นครพนม!I515"")"),188)</f>
        <v>188</v>
      </c>
      <c r="J620" s="203">
        <f ca="1">IFERROR(__xludf.DUMMYFUNCTION("IMPORTRANGE(""https://docs.google.com/spreadsheets/d/1XL5vhW3sbDhbH9Cz0tuDiY8C3ctxq1tqvaCgkFb8cCA/edit?usp=sharing"",""นครพนม!J515"")"),0)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IFERROR(__xludf.DUMMYFUNCTION("IMPORTRANGE(""https://docs.google.com/spreadsheets/d/1XL5vhW3sbDhbH9Cz0tuDiY8C3ctxq1tqvaCgkFb8cCA/edit?usp=sharing"",""นครพนม!I516"")"),0)</f>
        <v>0</v>
      </c>
      <c r="J621" s="203">
        <f ca="1">IFERROR(__xludf.DUMMYFUNCTION("IMPORTRANGE(""https://docs.google.com/spreadsheets/d/1XL5vhW3sbDhbH9Cz0tuDiY8C3ctxq1tqvaCgkFb8cCA/edit?usp=sharing"",""นครพนม!J516"")"),0)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IFERROR(__xludf.DUMMYFUNCTION("IMPORTRANGE(""https://docs.google.com/spreadsheets/d/1XL5vhW3sbDhbH9Cz0tuDiY8C3ctxq1tqvaCgkFb8cCA/edit?usp=sharing"",""นครพนม!I517"")"),0)</f>
        <v>0</v>
      </c>
      <c r="J622" s="189">
        <f ca="1">IFERROR(__xludf.DUMMYFUNCTION("IMPORTRANGE(""https://docs.google.com/spreadsheets/d/1XL5vhW3sbDhbH9Cz0tuDiY8C3ctxq1tqvaCgkFb8cCA/edit?usp=sharing"",""นครพนม!J517"")"),0)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IFERROR(__xludf.DUMMYFUNCTION("IMPORTRANGE(""https://docs.google.com/spreadsheets/d/1XL5vhW3sbDhbH9Cz0tuDiY8C3ctxq1tqvaCgkFb8cCA/edit?usp=sharing"",""นครพนม!I518"")"),0)</f>
        <v>0</v>
      </c>
      <c r="J623" s="189">
        <f ca="1">IFERROR(__xludf.DUMMYFUNCTION("IMPORTRANGE(""https://docs.google.com/spreadsheets/d/1XL5vhW3sbDhbH9Cz0tuDiY8C3ctxq1tqvaCgkFb8cCA/edit?usp=sharing"",""นครพนม!J518"")"),0)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IFERROR(__xludf.DUMMYFUNCTION("IMPORTRANGE(""https://docs.google.com/spreadsheets/d/1XL5vhW3sbDhbH9Cz0tuDiY8C3ctxq1tqvaCgkFb8cCA/edit?usp=sharing"",""นครพนม!I519"")"),0)</f>
        <v>0</v>
      </c>
      <c r="J624" s="188">
        <f ca="1">IFERROR(__xludf.DUMMYFUNCTION("IMPORTRANGE(""https://docs.google.com/spreadsheets/d/1XL5vhW3sbDhbH9Cz0tuDiY8C3ctxq1tqvaCgkFb8cCA/edit?usp=sharing"",""นครพนม!J519"")"),0)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IFERROR(__xludf.DUMMYFUNCTION("IMPORTRANGE(""https://docs.google.com/spreadsheets/d/1XL5vhW3sbDhbH9Cz0tuDiY8C3ctxq1tqvaCgkFb8cCA/edit?usp=sharing"",""นครพนม!I520"")"),0)</f>
        <v>0</v>
      </c>
      <c r="J625" s="189">
        <f ca="1">IFERROR(__xludf.DUMMYFUNCTION("IMPORTRANGE(""https://docs.google.com/spreadsheets/d/1XL5vhW3sbDhbH9Cz0tuDiY8C3ctxq1tqvaCgkFb8cCA/edit?usp=sharing"",""นครพนม!J520"")"),0)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IFERROR(__xludf.DUMMYFUNCTION("IMPORTRANGE(""https://docs.google.com/spreadsheets/d/1XL5vhW3sbDhbH9Cz0tuDiY8C3ctxq1tqvaCgkFb8cCA/edit?usp=sharing"",""นครพนม!I521"")"),0)</f>
        <v>0</v>
      </c>
      <c r="J626" s="189">
        <f ca="1">IFERROR(__xludf.DUMMYFUNCTION("IMPORTRANGE(""https://docs.google.com/spreadsheets/d/1XL5vhW3sbDhbH9Cz0tuDiY8C3ctxq1tqvaCgkFb8cCA/edit?usp=sharing"",""นครพนม!J521"")"),0)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IFERROR(__xludf.DUMMYFUNCTION("IMPORTRANGE(""https://docs.google.com/spreadsheets/d/1XL5vhW3sbDhbH9Cz0tuDiY8C3ctxq1tqvaCgkFb8cCA/edit?usp=sharing"",""นครพนม!I523"")"),2194868.24)</f>
        <v>2194868.2400000002</v>
      </c>
      <c r="J628" s="341">
        <f ca="1">IFERROR(__xludf.DUMMYFUNCTION("IMPORTRANGE(""https://docs.google.com/spreadsheets/d/1XL5vhW3sbDhbH9Cz0tuDiY8C3ctxq1tqvaCgkFb8cCA/edit?usp=sharing"",""นครพนม!J523"")"),1504220.1)</f>
        <v>1504220.1</v>
      </c>
      <c r="K628" s="342">
        <f t="shared" ref="K628:K635" ca="1" si="129">IF(I628&gt;0,J628*100/I628,0)</f>
        <v>68.533503405197564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IFERROR(__xludf.DUMMYFUNCTION("IMPORTRANGE(""https://docs.google.com/spreadsheets/d/1XL5vhW3sbDhbH9Cz0tuDiY8C3ctxq1tqvaCgkFb8cCA/edit?usp=sharing"",""นครพนม!I524"")"),214)</f>
        <v>214</v>
      </c>
      <c r="J629" s="341">
        <f ca="1">IFERROR(__xludf.DUMMYFUNCTION("IMPORTRANGE(""https://docs.google.com/spreadsheets/d/1XL5vhW3sbDhbH9Cz0tuDiY8C3ctxq1tqvaCgkFb8cCA/edit?usp=sharing"",""นครพนม!J524"")"),148)</f>
        <v>148</v>
      </c>
      <c r="K629" s="342">
        <f t="shared" ca="1" si="129"/>
        <v>69.158878504672899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IFERROR(__xludf.DUMMYFUNCTION("IMPORTRANGE(""https://docs.google.com/spreadsheets/d/1XL5vhW3sbDhbH9Cz0tuDiY8C3ctxq1tqvaCgkFb8cCA/edit?usp=sharing"",""นครพนม!I525"")"),3131499.4)</f>
        <v>3131499.4</v>
      </c>
      <c r="J630" s="341">
        <f ca="1">IFERROR(__xludf.DUMMYFUNCTION("IMPORTRANGE(""https://docs.google.com/spreadsheets/d/1XL5vhW3sbDhbH9Cz0tuDiY8C3ctxq1tqvaCgkFb8cCA/edit?usp=sharing"",""นครพนม!J525"")"),360699.39)</f>
        <v>360699.39</v>
      </c>
      <c r="K630" s="342">
        <f t="shared" ca="1" si="129"/>
        <v>11.518424368850271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IFERROR(__xludf.DUMMYFUNCTION("IMPORTRANGE(""https://docs.google.com/spreadsheets/d/1XL5vhW3sbDhbH9Cz0tuDiY8C3ctxq1tqvaCgkFb8cCA/edit?usp=sharing"",""นครพนม!I526"")"),144)</f>
        <v>144</v>
      </c>
      <c r="J631" s="341">
        <f ca="1">IFERROR(__xludf.DUMMYFUNCTION("IMPORTRANGE(""https://docs.google.com/spreadsheets/d/1XL5vhW3sbDhbH9Cz0tuDiY8C3ctxq1tqvaCgkFb8cCA/edit?usp=sharing"",""นครพนม!J526"")"),51)</f>
        <v>51</v>
      </c>
      <c r="K631" s="342">
        <f t="shared" ca="1" si="129"/>
        <v>35.416666666666664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IFERROR(__xludf.DUMMYFUNCTION("IMPORTRANGE(""https://docs.google.com/spreadsheets/d/1XL5vhW3sbDhbH9Cz0tuDiY8C3ctxq1tqvaCgkFb8cCA/edit?usp=sharing"",""นครพนม!I527"")"),203773.43)</f>
        <v>203773.43</v>
      </c>
      <c r="J632" s="341">
        <f ca="1">IFERROR(__xludf.DUMMYFUNCTION("IMPORTRANGE(""https://docs.google.com/spreadsheets/d/1XL5vhW3sbDhbH9Cz0tuDiY8C3ctxq1tqvaCgkFb8cCA/edit?usp=sharing"",""นครพนม!J527"")"),78260.45)</f>
        <v>78260.45</v>
      </c>
      <c r="K632" s="342">
        <f t="shared" ca="1" si="129"/>
        <v>38.405620399087361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IFERROR(__xludf.DUMMYFUNCTION("IMPORTRANGE(""https://docs.google.com/spreadsheets/d/1XL5vhW3sbDhbH9Cz0tuDiY8C3ctxq1tqvaCgkFb8cCA/edit?usp=sharing"",""นครพนม!I528"")"),16)</f>
        <v>16</v>
      </c>
      <c r="J633" s="341">
        <f ca="1">IFERROR(__xludf.DUMMYFUNCTION("IMPORTRANGE(""https://docs.google.com/spreadsheets/d/1XL5vhW3sbDhbH9Cz0tuDiY8C3ctxq1tqvaCgkFb8cCA/edit?usp=sharing"",""นครพนม!J528"")"),7)</f>
        <v>7</v>
      </c>
      <c r="K633" s="342">
        <f t="shared" ca="1" si="129"/>
        <v>43.75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IFERROR(__xludf.DUMMYFUNCTION("IMPORTRANGE(""https://docs.google.com/spreadsheets/d/1XL5vhW3sbDhbH9Cz0tuDiY8C3ctxq1tqvaCgkFb8cCA/edit?usp=sharing"",""นครพนม!I529"")"),2700000)</f>
        <v>2700000</v>
      </c>
      <c r="J634" s="341">
        <f ca="1">IFERROR(__xludf.DUMMYFUNCTION("IMPORTRANGE(""https://docs.google.com/spreadsheets/d/1XL5vhW3sbDhbH9Cz0tuDiY8C3ctxq1tqvaCgkFb8cCA/edit?usp=sharing"",""นครพนม!J529"")"),0)</f>
        <v>0</v>
      </c>
      <c r="K634" s="342">
        <f t="shared" ca="1" si="129"/>
        <v>0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IFERROR(__xludf.DUMMYFUNCTION("IMPORTRANGE(""https://docs.google.com/spreadsheets/d/1XL5vhW3sbDhbH9Cz0tuDiY8C3ctxq1tqvaCgkFb8cCA/edit?usp=sharing"",""นครพนม!I530"")"),90)</f>
        <v>90</v>
      </c>
      <c r="J635" s="504">
        <f ca="1">IFERROR(__xludf.DUMMYFUNCTION("IMPORTRANGE(""https://docs.google.com/spreadsheets/d/1XL5vhW3sbDhbH9Cz0tuDiY8C3ctxq1tqvaCgkFb8cCA/edit?usp=sharing"",""นครพนม!J530"")"),0)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12" sqref="J12"/>
      <selection pane="bottomLeft" activeCell="H560" sqref="H560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5.36328125" bestFit="1" customWidth="1"/>
    <col min="10" max="10" width="13.90625" bestFit="1" customWidth="1"/>
    <col min="11" max="11" width="12.6328125" bestFit="1" customWidth="1"/>
    <col min="12" max="12" width="19.36328125" bestFit="1" customWidth="1"/>
    <col min="13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56" t="s">
        <v>0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</row>
    <row r="2" spans="1:16" ht="18" customHeight="1" x14ac:dyDescent="0.35">
      <c r="A2" s="556" t="s">
        <v>246</v>
      </c>
      <c r="B2" s="556"/>
      <c r="C2" s="556"/>
      <c r="D2" s="556"/>
      <c r="E2" s="556"/>
      <c r="F2" s="556"/>
      <c r="G2" s="556"/>
      <c r="H2" s="556"/>
      <c r="I2" s="556"/>
      <c r="J2" s="556"/>
      <c r="K2" s="556"/>
      <c r="L2" s="556"/>
      <c r="M2" s="556"/>
      <c r="N2" s="556"/>
      <c r="O2" s="556"/>
      <c r="P2" s="556"/>
    </row>
    <row r="3" spans="1:16" ht="18" customHeight="1" x14ac:dyDescent="0.35">
      <c r="A3" s="556" t="s">
        <v>278</v>
      </c>
      <c r="B3" s="556"/>
      <c r="C3" s="556"/>
      <c r="D3" s="556"/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6"/>
      <c r="P3" s="55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64" t="s">
        <v>2</v>
      </c>
      <c r="B5" s="565"/>
      <c r="C5" s="565"/>
      <c r="D5" s="565"/>
      <c r="E5" s="565"/>
      <c r="F5" s="565"/>
      <c r="G5" s="566"/>
      <c r="H5" s="557" t="s">
        <v>3</v>
      </c>
      <c r="I5" s="559" t="s">
        <v>4</v>
      </c>
      <c r="J5" s="560"/>
      <c r="K5" s="561"/>
      <c r="L5" s="562" t="s">
        <v>5</v>
      </c>
      <c r="M5" s="561"/>
      <c r="N5" s="563" t="s">
        <v>6</v>
      </c>
      <c r="O5" s="560"/>
      <c r="P5" s="561"/>
    </row>
    <row r="6" spans="1:16" ht="21.75" customHeight="1" x14ac:dyDescent="0.35">
      <c r="A6" s="567"/>
      <c r="B6" s="568"/>
      <c r="C6" s="568"/>
      <c r="D6" s="568"/>
      <c r="E6" s="568"/>
      <c r="F6" s="568"/>
      <c r="G6" s="569"/>
      <c r="H6" s="55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0" t="s">
        <v>15</v>
      </c>
      <c r="B7" s="560"/>
      <c r="C7" s="560"/>
      <c r="D7" s="560"/>
      <c r="E7" s="560"/>
      <c r="F7" s="560"/>
      <c r="G7" s="56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1" t="s">
        <v>17</v>
      </c>
      <c r="E8" s="555"/>
      <c r="F8" s="555"/>
      <c r="G8" s="555"/>
      <c r="H8" s="20" t="s">
        <v>12</v>
      </c>
      <c r="I8" s="21"/>
      <c r="J8" s="21"/>
      <c r="K8" s="22"/>
      <c r="L8" s="23">
        <f t="shared" ref="L8:N8" ca="1" si="0">L9+L10</f>
        <v>10439806</v>
      </c>
      <c r="M8" s="23">
        <f t="shared" ca="1" si="0"/>
        <v>4670852</v>
      </c>
      <c r="N8" s="23">
        <f t="shared" ca="1" si="0"/>
        <v>5537075.6500000004</v>
      </c>
      <c r="O8" s="22">
        <f t="shared" ref="O8:O16" ca="1" si="1">IF(L8&gt;0,N8*100/L8,0)</f>
        <v>53.038108658340967</v>
      </c>
      <c r="P8" s="22">
        <f t="shared" ref="P8:P16" ca="1" si="2">IF(M8&gt;0,N8*100/M8,0)</f>
        <v>118.54530286979762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10439806</v>
      </c>
      <c r="M10" s="30">
        <f t="shared" ca="1" si="4"/>
        <v>4670852</v>
      </c>
      <c r="N10" s="30">
        <f t="shared" ca="1" si="4"/>
        <v>5537075.6500000004</v>
      </c>
      <c r="O10" s="29">
        <f t="shared" ca="1" si="1"/>
        <v>53.038108658340967</v>
      </c>
      <c r="P10" s="29">
        <f t="shared" ca="1" si="2"/>
        <v>118.54530286979762</v>
      </c>
    </row>
    <row r="11" spans="1:16" ht="21.75" customHeight="1" x14ac:dyDescent="0.45">
      <c r="A11" s="31"/>
      <c r="B11" s="32"/>
      <c r="C11" s="33" t="s">
        <v>16</v>
      </c>
      <c r="D11" s="572" t="s">
        <v>20</v>
      </c>
      <c r="E11" s="553"/>
      <c r="F11" s="55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10207006</v>
      </c>
      <c r="M12" s="38">
        <f t="shared" ca="1" si="6"/>
        <v>4438052</v>
      </c>
      <c r="N12" s="38">
        <f t="shared" ca="1" si="6"/>
        <v>5304275.6500000004</v>
      </c>
      <c r="O12" s="38">
        <f t="shared" ca="1" si="1"/>
        <v>51.967008249039928</v>
      </c>
      <c r="P12" s="38">
        <f t="shared" ca="1" si="2"/>
        <v>119.51810501544372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2825300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7381706</v>
      </c>
      <c r="M14" s="38">
        <f t="shared" si="8"/>
        <v>0</v>
      </c>
      <c r="N14" s="38">
        <f t="shared" ca="1" si="8"/>
        <v>2162276.96</v>
      </c>
      <c r="O14" s="38">
        <f t="shared" ca="1" si="1"/>
        <v>29.292374418596459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2" t="s">
        <v>23</v>
      </c>
      <c r="E15" s="55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232800</v>
      </c>
      <c r="M16" s="38">
        <f t="shared" ca="1" si="10"/>
        <v>232800</v>
      </c>
      <c r="N16" s="38">
        <f t="shared" ca="1" si="10"/>
        <v>232800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70" t="s">
        <v>24</v>
      </c>
      <c r="B17" s="560"/>
      <c r="C17" s="560"/>
      <c r="D17" s="560"/>
      <c r="E17" s="560"/>
      <c r="F17" s="560"/>
      <c r="G17" s="56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1" t="s">
        <v>17</v>
      </c>
      <c r="E18" s="555"/>
      <c r="F18" s="555"/>
      <c r="G18" s="555"/>
      <c r="H18" s="20" t="s">
        <v>12</v>
      </c>
      <c r="I18" s="21"/>
      <c r="J18" s="21"/>
      <c r="K18" s="22"/>
      <c r="L18" s="23">
        <f t="shared" ref="L18:N18" ca="1" si="11">L19+L20</f>
        <v>6059385</v>
      </c>
      <c r="M18" s="23">
        <f t="shared" ca="1" si="11"/>
        <v>4670852</v>
      </c>
      <c r="N18" s="23">
        <f t="shared" ca="1" si="11"/>
        <v>3374798.69</v>
      </c>
      <c r="O18" s="22">
        <f t="shared" ref="O18:O20" ca="1" si="12">IF(L18&gt;0,N18*100/L18,0)</f>
        <v>55.695399615637562</v>
      </c>
      <c r="P18" s="22">
        <f t="shared" ref="P18:P26" ca="1" si="13">IF(M18&gt;0,N18*100/M18,0)</f>
        <v>72.252314781114876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6059385</v>
      </c>
      <c r="M20" s="30">
        <f t="shared" ca="1" si="15"/>
        <v>4670852</v>
      </c>
      <c r="N20" s="30">
        <f t="shared" ca="1" si="15"/>
        <v>3374798.69</v>
      </c>
      <c r="O20" s="29">
        <f t="shared" ca="1" si="12"/>
        <v>55.695399615637562</v>
      </c>
      <c r="P20" s="29">
        <f t="shared" ca="1" si="13"/>
        <v>72.252314781114876</v>
      </c>
    </row>
    <row r="21" spans="1:16" ht="21.75" customHeight="1" x14ac:dyDescent="0.45">
      <c r="A21" s="31"/>
      <c r="B21" s="32"/>
      <c r="C21" s="33" t="s">
        <v>16</v>
      </c>
      <c r="D21" s="572" t="s">
        <v>20</v>
      </c>
      <c r="E21" s="553"/>
      <c r="F21" s="55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5826585</v>
      </c>
      <c r="M22" s="41">
        <f t="shared" ca="1" si="18"/>
        <v>4438052</v>
      </c>
      <c r="N22" s="38">
        <f t="shared" ca="1" si="18"/>
        <v>3141998.69</v>
      </c>
      <c r="O22" s="38">
        <f t="shared" ca="1" si="17"/>
        <v>53.925218459869718</v>
      </c>
      <c r="P22" s="38">
        <f t="shared" ca="1" si="13"/>
        <v>70.796797558929001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2825300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3001285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2" t="s">
        <v>23</v>
      </c>
      <c r="E25" s="55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232800</v>
      </c>
      <c r="M26" s="49">
        <f t="shared" ca="1" si="22"/>
        <v>232800</v>
      </c>
      <c r="N26" s="49">
        <f t="shared" ca="1" si="22"/>
        <v>232800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70" t="s">
        <v>25</v>
      </c>
      <c r="B27" s="560"/>
      <c r="C27" s="560"/>
      <c r="D27" s="560"/>
      <c r="E27" s="560"/>
      <c r="F27" s="560"/>
      <c r="G27" s="56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1" t="s">
        <v>17</v>
      </c>
      <c r="E28" s="555"/>
      <c r="F28" s="555"/>
      <c r="G28" s="555"/>
      <c r="H28" s="20" t="s">
        <v>12</v>
      </c>
      <c r="I28" s="21"/>
      <c r="J28" s="21"/>
      <c r="K28" s="22"/>
      <c r="L28" s="23">
        <f t="shared" ref="L28:N28" ca="1" si="23">L29+L30</f>
        <v>4380421</v>
      </c>
      <c r="M28" s="23">
        <f t="shared" si="23"/>
        <v>0</v>
      </c>
      <c r="N28" s="23">
        <f t="shared" ca="1" si="23"/>
        <v>2162276.96</v>
      </c>
      <c r="O28" s="22">
        <f t="shared" ref="O28:O30" ca="1" si="24">IF(L28&gt;0,N28*100/L28,0)</f>
        <v>49.362309239226093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4380421</v>
      </c>
      <c r="M30" s="30">
        <f t="shared" si="27"/>
        <v>0</v>
      </c>
      <c r="N30" s="30">
        <f t="shared" ca="1" si="27"/>
        <v>2162276.96</v>
      </c>
      <c r="O30" s="29">
        <f t="shared" ca="1" si="24"/>
        <v>49.362309239226093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2" t="s">
        <v>20</v>
      </c>
      <c r="E31" s="553"/>
      <c r="F31" s="55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4380421</v>
      </c>
      <c r="M32" s="38">
        <f t="shared" si="30"/>
        <v>0</v>
      </c>
      <c r="N32" s="38">
        <f t="shared" ca="1" si="30"/>
        <v>2162276.96</v>
      </c>
      <c r="O32" s="38">
        <f t="shared" ca="1" si="29"/>
        <v>49.362309239226093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4380421</v>
      </c>
      <c r="M34" s="38">
        <f t="shared" si="32"/>
        <v>0</v>
      </c>
      <c r="N34" s="38">
        <f t="shared" ca="1" si="32"/>
        <v>2162276.96</v>
      </c>
      <c r="O34" s="38">
        <f t="shared" ca="1" si="29"/>
        <v>49.362309239226093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2" t="s">
        <v>23</v>
      </c>
      <c r="E35" s="55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6059385</v>
      </c>
      <c r="M37" s="54">
        <f t="shared" ca="1" si="33"/>
        <v>4670852</v>
      </c>
      <c r="N37" s="54">
        <f t="shared" ca="1" si="33"/>
        <v>3374798.69</v>
      </c>
      <c r="O37" s="55">
        <f t="shared" ca="1" si="29"/>
        <v>55.695399615637562</v>
      </c>
      <c r="P37" s="55">
        <f t="shared" ca="1" si="25"/>
        <v>72.252314781114876</v>
      </c>
    </row>
    <row r="38" spans="1:16" ht="21.75" customHeight="1" x14ac:dyDescent="0.45">
      <c r="A38" s="573" t="s">
        <v>27</v>
      </c>
      <c r="B38" s="560"/>
      <c r="C38" s="560"/>
      <c r="D38" s="560"/>
      <c r="E38" s="560"/>
      <c r="F38" s="560"/>
      <c r="G38" s="56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74" t="s">
        <v>28</v>
      </c>
      <c r="C39" s="555"/>
      <c r="D39" s="555"/>
      <c r="E39" s="555"/>
      <c r="F39" s="555"/>
      <c r="G39" s="55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75" t="s">
        <v>17</v>
      </c>
      <c r="E41" s="553"/>
      <c r="F41" s="553"/>
      <c r="G41" s="553"/>
      <c r="H41" s="75" t="s">
        <v>12</v>
      </c>
      <c r="I41" s="76"/>
      <c r="J41" s="76"/>
      <c r="K41" s="77"/>
      <c r="L41" s="78">
        <f t="shared" ref="L41:N41" ca="1" si="34">L42+L43</f>
        <v>1152100</v>
      </c>
      <c r="M41" s="78">
        <f t="shared" ca="1" si="34"/>
        <v>922020</v>
      </c>
      <c r="N41" s="78">
        <f t="shared" ca="1" si="34"/>
        <v>654535.07999999996</v>
      </c>
      <c r="O41" s="77">
        <f t="shared" ref="O41:O43" ca="1" si="35">IF(L41&gt;0,N41*100/L41,0)</f>
        <v>56.812349622428599</v>
      </c>
      <c r="P41" s="77">
        <f t="shared" ref="P41:P43" ca="1" si="36">IF(M41&gt;0,N41*100/M41,0)</f>
        <v>70.989249690896074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1152100</v>
      </c>
      <c r="M43" s="78">
        <f t="shared" ca="1" si="38"/>
        <v>922020</v>
      </c>
      <c r="N43" s="78">
        <f t="shared" ca="1" si="38"/>
        <v>654535.07999999996</v>
      </c>
      <c r="O43" s="77">
        <f t="shared" ca="1" si="35"/>
        <v>56.812349622428599</v>
      </c>
      <c r="P43" s="77">
        <f t="shared" ca="1" si="36"/>
        <v>70.989249690896074</v>
      </c>
    </row>
    <row r="44" spans="1:16" ht="21.75" customHeight="1" x14ac:dyDescent="0.45">
      <c r="A44" s="79"/>
      <c r="B44" s="80"/>
      <c r="C44" s="81" t="s">
        <v>16</v>
      </c>
      <c r="D44" s="552" t="s">
        <v>20</v>
      </c>
      <c r="E44" s="553"/>
      <c r="F44" s="55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1104100</v>
      </c>
      <c r="M45" s="49">
        <f ca="1">IFERROR(__xludf.DUMMYFUNCTION("IMPORTRANGE(""https://docs.google.com/spreadsheets/d/1Yj_ptqi66GCucihVvJfMjLAmec39IyEx_6qawtMGysU/edit?usp=sharing"",""สบก!Q42"")"),874020)</f>
        <v>874020</v>
      </c>
      <c r="N45" s="49">
        <f ca="1">IFERROR(__xludf.DUMMYFUNCTION("IMPORTRANGE(""https://docs.google.com/spreadsheets/d/1Yj_ptqi66GCucihVvJfMjLAmec39IyEx_6qawtMGysU/edit?usp=sharing"",""สบก!R42"")"),606535.08)</f>
        <v>606535.07999999996</v>
      </c>
      <c r="O45" s="38">
        <f ca="1">IF(L45&gt;0,N45*100/L45,0)</f>
        <v>54.934795761253504</v>
      </c>
      <c r="P45" s="38">
        <f ca="1">IF(M45&gt;0,N45*100/M45,0)</f>
        <v>69.396018397748321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IFERROR(__xludf.DUMMYFUNCTION("IMPORTRANGE(""https://docs.google.com/spreadsheets/d/1Yj_ptqi66GCucihVvJfMjLAmec39IyEx_6qawtMGysU/edit?usp=sharing"",""สบก!M42"")"),1104100)</f>
        <v>1104100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IFERROR(__xludf.DUMMYFUNCTION("IMPORTRANGE(""https://docs.google.com/spreadsheets/d/1Yj_ptqi66GCucihVvJfMjLAmec39IyEx_6qawtMGysU/edit?usp=sharing"",""สบก!N42"")"),0)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52" t="s">
        <v>23</v>
      </c>
      <c r="E48" s="55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IFERROR(__xludf.DUMMYFUNCTION("IMPORTRANGE(""https://docs.google.com/spreadsheets/d/1Yj_ptqi66GCucihVvJfMjLAmec39IyEx_6qawtMGysU/edit?usp=sharing"",""สบก!O42"")"),48000)</f>
        <v>48000</v>
      </c>
      <c r="M49" s="49">
        <f ca="1">L49</f>
        <v>48000</v>
      </c>
      <c r="N49" s="49">
        <f ca="1">IFERROR(__xludf.DUMMYFUNCTION("IMPORTRANGE(""https://docs.google.com/spreadsheets/d/1Yj_ptqi66GCucihVvJfMjLAmec39IyEx_6qawtMGysU/edit?usp=sharing"",""สบก!S42"")"),48000)</f>
        <v>48000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76" t="s">
        <v>32</v>
      </c>
      <c r="C52" s="553"/>
      <c r="D52" s="553"/>
      <c r="E52" s="553"/>
      <c r="F52" s="553"/>
      <c r="G52" s="55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77" t="s">
        <v>17</v>
      </c>
      <c r="E53" s="553"/>
      <c r="F53" s="553"/>
      <c r="G53" s="553"/>
      <c r="H53" s="118" t="s">
        <v>12</v>
      </c>
      <c r="I53" s="119"/>
      <c r="J53" s="119"/>
      <c r="K53" s="120"/>
      <c r="L53" s="121">
        <f t="shared" ref="L53:N53" ca="1" si="39">L54+L55</f>
        <v>585600</v>
      </c>
      <c r="M53" s="121">
        <f t="shared" ca="1" si="39"/>
        <v>474492</v>
      </c>
      <c r="N53" s="121">
        <f t="shared" ca="1" si="39"/>
        <v>386494</v>
      </c>
      <c r="O53" s="120">
        <f t="shared" ref="O53:O55" ca="1" si="40">IF(L53&gt;0,N53*100/L53,0)</f>
        <v>65.999658469945359</v>
      </c>
      <c r="P53" s="120">
        <f t="shared" ref="P53:P55" ca="1" si="41">IF(M53&gt;0,N53*100/M53,0)</f>
        <v>81.454271094138576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585600</v>
      </c>
      <c r="M55" s="121">
        <f t="shared" ca="1" si="43"/>
        <v>474492</v>
      </c>
      <c r="N55" s="121">
        <f t="shared" ca="1" si="43"/>
        <v>386494</v>
      </c>
      <c r="O55" s="120">
        <f t="shared" ca="1" si="40"/>
        <v>65.999658469945359</v>
      </c>
      <c r="P55" s="120">
        <f t="shared" ca="1" si="41"/>
        <v>81.454271094138576</v>
      </c>
    </row>
    <row r="56" spans="1:16" ht="21.75" customHeight="1" x14ac:dyDescent="0.45">
      <c r="A56" s="79"/>
      <c r="B56" s="80"/>
      <c r="C56" s="81" t="s">
        <v>16</v>
      </c>
      <c r="D56" s="552" t="s">
        <v>20</v>
      </c>
      <c r="E56" s="553"/>
      <c r="F56" s="55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585600</v>
      </c>
      <c r="M57" s="49">
        <f ca="1">IFERROR(__xludf.DUMMYFUNCTION("IMPORTRANGE(""https://docs.google.com/spreadsheets/d/1Yj_ptqi66GCucihVvJfMjLAmec39IyEx_6qawtMGysU/edit?usp=sharing"",""สบก!Z42"")"),474492)</f>
        <v>474492</v>
      </c>
      <c r="N57" s="49">
        <f ca="1">IFERROR(__xludf.DUMMYFUNCTION("IMPORTRANGE(""https://docs.google.com/spreadsheets/d/1Yj_ptqi66GCucihVvJfMjLAmec39IyEx_6qawtMGysU/edit?usp=sharing"",""สบก!AA42"")"),386494)</f>
        <v>386494</v>
      </c>
      <c r="O57" s="38">
        <f ca="1">IF(L57&gt;0,N57*100/L57,0)</f>
        <v>65.999658469945359</v>
      </c>
      <c r="P57" s="38">
        <f ca="1">IF(M57&gt;0,N57*100/M57,0)</f>
        <v>81.454271094138576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IFERROR(__xludf.DUMMYFUNCTION("IMPORTRANGE(""https://docs.google.com/spreadsheets/d/1Yj_ptqi66GCucihVvJfMjLAmec39IyEx_6qawtMGysU/edit?usp=sharing"",""สบก!V42"")"),585600)</f>
        <v>585600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IFERROR(__xludf.DUMMYFUNCTION("IMPORTRANGE(""https://docs.google.com/spreadsheets/d/1Yj_ptqi66GCucihVvJfMjLAmec39IyEx_6qawtMGysU/edit?usp=sharing"",""สบก!W42"")"),0)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52" t="s">
        <v>23</v>
      </c>
      <c r="E60" s="55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IFERROR(__xludf.DUMMYFUNCTION("IMPORTRANGE(""https://docs.google.com/spreadsheets/d/1Yj_ptqi66GCucihVvJfMjLAmec39IyEx_6qawtMGysU/edit?usp=sharing"",""สบก!X42"")"),0)</f>
        <v>0</v>
      </c>
      <c r="M61" s="49"/>
      <c r="N61" s="49">
        <f ca="1">IFERROR(__xludf.DUMMYFUNCTION("IMPORTRANGE(""https://docs.google.com/spreadsheets/d/1Yj_ptqi66GCucihVvJfMjLAmec39IyEx_6qawtMGysU/edit?usp=sharing"",""สบก!AB42"")"),0)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IFERROR(__xludf.DUMMYFUNCTION("IMPORTRANGE(""https://docs.google.com/spreadsheets/d/1XL5vhW3sbDhbH9Cz0tuDiY8C3ctxq1tqvaCgkFb8cCA/edit?usp=sharing"",""นครราชสีมา!I9"")"),0)</f>
        <v>0</v>
      </c>
      <c r="J64" s="142">
        <f ca="1">IFERROR(__xludf.DUMMYFUNCTION("IMPORTRANGE(""https://docs.google.com/spreadsheets/d/1XL5vhW3sbDhbH9Cz0tuDiY8C3ctxq1tqvaCgkFb8cCA/edit?usp=sharing"",""นครราชสีมา!J9"")"),0)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IFERROR(__xludf.DUMMYFUNCTION("IMPORTRANGE(""https://docs.google.com/spreadsheets/d/1XL5vhW3sbDhbH9Cz0tuDiY8C3ctxq1tqvaCgkFb8cCA/edit?usp=sharing"",""นครราชสีมา!I10"")"),0)</f>
        <v>0</v>
      </c>
      <c r="J65" s="142">
        <f ca="1">IFERROR(__xludf.DUMMYFUNCTION("IMPORTRANGE(""https://docs.google.com/spreadsheets/d/1XL5vhW3sbDhbH9Cz0tuDiY8C3ctxq1tqvaCgkFb8cCA/edit?usp=sharing"",""นครราชสีมา!J10"")"),0)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54" t="s">
        <v>17</v>
      </c>
      <c r="E66" s="555"/>
      <c r="F66" s="555"/>
      <c r="G66" s="55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52" t="s">
        <v>20</v>
      </c>
      <c r="E69" s="553"/>
      <c r="F69" s="55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IFERROR(__xludf.DUMMYFUNCTION("IMPORTRANGE(""https://docs.google.com/spreadsheets/d/1Yj_ptqi66GCucihVvJfMjLAmec39IyEx_6qawtMGysU/edit?usp=sharing"",""สบก!AI42"")"),0)</f>
        <v>0</v>
      </c>
      <c r="N70" s="169">
        <f ca="1">IFERROR(__xludf.DUMMYFUNCTION("IMPORTRANGE(""https://docs.google.com/spreadsheets/d/1Yj_ptqi66GCucihVvJfMjLAmec39IyEx_6qawtMGysU/edit?usp=sharing"",""สบก!AJ42"")"),0)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IFERROR(__xludf.DUMMYFUNCTION("IMPORTRANGE(""https://docs.google.com/spreadsheets/d/1Yj_ptqi66GCucihVvJfMjLAmec39IyEx_6qawtMGysU/edit?usp=sharing"",""สบก!AE42"")"),0)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IFERROR(__xludf.DUMMYFUNCTION("IMPORTRANGE(""https://docs.google.com/spreadsheets/d/1Yj_ptqi66GCucihVvJfMjLAmec39IyEx_6qawtMGysU/edit?usp=sharing"",""สบก!AF42"")"),0)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52" t="s">
        <v>23</v>
      </c>
      <c r="E73" s="55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IFERROR(__xludf.DUMMYFUNCTION("IMPORTRANGE(""https://docs.google.com/spreadsheets/d/1Yj_ptqi66GCucihVvJfMjLAmec39IyEx_6qawtMGysU/edit?usp=sharing"",""สบก!AG42"")"),0)</f>
        <v>0</v>
      </c>
      <c r="M74" s="49"/>
      <c r="N74" s="49">
        <f ca="1">IFERROR(__xludf.DUMMYFUNCTION("IMPORTRANGE(""https://docs.google.com/spreadsheets/d/1Yj_ptqi66GCucihVvJfMjLAmec39IyEx_6qawtMGysU/edit?usp=sharing"",""สบก!AK42"")"),0)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IFERROR(__xludf.DUMMYFUNCTION("IMPORTRANGE(""https://docs.google.com/spreadsheets/d/1XL5vhW3sbDhbH9Cz0tuDiY8C3ctxq1tqvaCgkFb8cCA/edit?usp=sharing"",""นครราชสีมา!J16"")"),0)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IFERROR(__xludf.DUMMYFUNCTION("IMPORTRANGE(""https://docs.google.com/spreadsheets/d/1XL5vhW3sbDhbH9Cz0tuDiY8C3ctxq1tqvaCgkFb8cCA/edit?usp=sharing"",""นครราชสีมา!J17"")"),0)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IFERROR(__xludf.DUMMYFUNCTION("IMPORTRANGE(""https://docs.google.com/spreadsheets/d/1XL5vhW3sbDhbH9Cz0tuDiY8C3ctxq1tqvaCgkFb8cCA/edit?usp=sharing"",""นครราชสีมา!J18"")"),0)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IFERROR(__xludf.DUMMYFUNCTION("IMPORTRANGE(""https://docs.google.com/spreadsheets/d/1XL5vhW3sbDhbH9Cz0tuDiY8C3ctxq1tqvaCgkFb8cCA/edit?usp=sharing"",""นครราชสีมา!J19"")"),0)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IFERROR(__xludf.DUMMYFUNCTION("IMPORTRANGE(""https://docs.google.com/spreadsheets/d/1XL5vhW3sbDhbH9Cz0tuDiY8C3ctxq1tqvaCgkFb8cCA/edit?usp=sharing"",""นครราชสีมา!I20"")"),0)</f>
        <v>0</v>
      </c>
      <c r="J80" s="201">
        <f ca="1">IFERROR(__xludf.DUMMYFUNCTION("IMPORTRANGE(""https://docs.google.com/spreadsheets/d/1XL5vhW3sbDhbH9Cz0tuDiY8C3ctxq1tqvaCgkFb8cCA/edit?usp=sharing"",""นครราชสีมา!J20"")"),0)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IFERROR(__xludf.DUMMYFUNCTION("IMPORTRANGE(""https://docs.google.com/spreadsheets/d/1XL5vhW3sbDhbH9Cz0tuDiY8C3ctxq1tqvaCgkFb8cCA/edit?usp=sharing"",""นครราชสีมา!I21"")"),0)</f>
        <v>0</v>
      </c>
      <c r="J81" s="201">
        <f ca="1">IFERROR(__xludf.DUMMYFUNCTION("IMPORTRANGE(""https://docs.google.com/spreadsheets/d/1XL5vhW3sbDhbH9Cz0tuDiY8C3ctxq1tqvaCgkFb8cCA/edit?usp=sharing"",""นครราชสีมา!J21"")"),0)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IFERROR(__xludf.DUMMYFUNCTION("IMPORTRANGE(""https://docs.google.com/spreadsheets/d/1XL5vhW3sbDhbH9Cz0tuDiY8C3ctxq1tqvaCgkFb8cCA/edit?usp=sharing"",""นครราชสีมา!I22"")"),0)</f>
        <v>0</v>
      </c>
      <c r="J82" s="204">
        <f ca="1">IFERROR(__xludf.DUMMYFUNCTION("IMPORTRANGE(""https://docs.google.com/spreadsheets/d/1XL5vhW3sbDhbH9Cz0tuDiY8C3ctxq1tqvaCgkFb8cCA/edit?usp=sharing"",""นครราชสีมา!J22"")"),0)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IFERROR(__xludf.DUMMYFUNCTION("IMPORTRANGE(""https://docs.google.com/spreadsheets/d/1XL5vhW3sbDhbH9Cz0tuDiY8C3ctxq1tqvaCgkFb8cCA/edit?usp=sharing"",""นครราชสีมา!I23"")"),0)</f>
        <v>0</v>
      </c>
      <c r="J83" s="204">
        <f ca="1">IFERROR(__xludf.DUMMYFUNCTION("IMPORTRANGE(""https://docs.google.com/spreadsheets/d/1XL5vhW3sbDhbH9Cz0tuDiY8C3ctxq1tqvaCgkFb8cCA/edit?usp=sharing"",""นครราชสีมา!J23"")"),0)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IFERROR(__xludf.DUMMYFUNCTION("IMPORTRANGE(""https://docs.google.com/spreadsheets/d/1XL5vhW3sbDhbH9Cz0tuDiY8C3ctxq1tqvaCgkFb8cCA/edit?usp=sharing"",""นครราชสีมา!I24"")"),0)</f>
        <v>0</v>
      </c>
      <c r="J84" s="189">
        <f ca="1">IFERROR(__xludf.DUMMYFUNCTION("IMPORTRANGE(""https://docs.google.com/spreadsheets/d/1XL5vhW3sbDhbH9Cz0tuDiY8C3ctxq1tqvaCgkFb8cCA/edit?usp=sharing"",""นครราชสีมา!J24"")"),0)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IFERROR(__xludf.DUMMYFUNCTION("IMPORTRANGE(""https://docs.google.com/spreadsheets/d/1XL5vhW3sbDhbH9Cz0tuDiY8C3ctxq1tqvaCgkFb8cCA/edit?usp=sharing"",""นครราชสีมา!I25"")"),0)</f>
        <v>0</v>
      </c>
      <c r="J85" s="189">
        <f ca="1">IFERROR(__xludf.DUMMYFUNCTION("IMPORTRANGE(""https://docs.google.com/spreadsheets/d/1XL5vhW3sbDhbH9Cz0tuDiY8C3ctxq1tqvaCgkFb8cCA/edit?usp=sharing"",""นครราชสีมา!J25"")"),0)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IFERROR(__xludf.DUMMYFUNCTION("IMPORTRANGE(""https://docs.google.com/spreadsheets/d/1XL5vhW3sbDhbH9Cz0tuDiY8C3ctxq1tqvaCgkFb8cCA/edit?usp=sharing"",""นครราชสีมา!I26"")"),0)</f>
        <v>0</v>
      </c>
      <c r="J86" s="204">
        <f ca="1">IFERROR(__xludf.DUMMYFUNCTION("IMPORTRANGE(""https://docs.google.com/spreadsheets/d/1XL5vhW3sbDhbH9Cz0tuDiY8C3ctxq1tqvaCgkFb8cCA/edit?usp=sharing"",""นครราชสีมา!J26"")"),0)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IFERROR(__xludf.DUMMYFUNCTION("IMPORTRANGE(""https://docs.google.com/spreadsheets/d/1XL5vhW3sbDhbH9Cz0tuDiY8C3ctxq1tqvaCgkFb8cCA/edit?usp=sharing"",""นครราชสีมา!I27"")"),0)</f>
        <v>0</v>
      </c>
      <c r="J87" s="204">
        <f ca="1">IFERROR(__xludf.DUMMYFUNCTION("IMPORTRANGE(""https://docs.google.com/spreadsheets/d/1XL5vhW3sbDhbH9Cz0tuDiY8C3ctxq1tqvaCgkFb8cCA/edit?usp=sharing"",""นครราชสีมา!J27"")"),0)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IFERROR(__xludf.DUMMYFUNCTION("IMPORTRANGE(""https://docs.google.com/spreadsheets/d/1XL5vhW3sbDhbH9Cz0tuDiY8C3ctxq1tqvaCgkFb8cCA/edit?usp=sharing"",""นครราชสีมา!I28"")"),0)</f>
        <v>0</v>
      </c>
      <c r="J88" s="204">
        <f ca="1">IFERROR(__xludf.DUMMYFUNCTION("IMPORTRANGE(""https://docs.google.com/spreadsheets/d/1XL5vhW3sbDhbH9Cz0tuDiY8C3ctxq1tqvaCgkFb8cCA/edit?usp=sharing"",""นครราชสีมา!J28"")"),0)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IFERROR(__xludf.DUMMYFUNCTION("IMPORTRANGE(""https://docs.google.com/spreadsheets/d/1XL5vhW3sbDhbH9Cz0tuDiY8C3ctxq1tqvaCgkFb8cCA/edit?usp=sharing"",""นครราชสีมา!J29"")"),0)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IFERROR(__xludf.DUMMYFUNCTION("IMPORTRANGE(""https://docs.google.com/spreadsheets/d/1XL5vhW3sbDhbH9Cz0tuDiY8C3ctxq1tqvaCgkFb8cCA/edit?usp=sharing"",""นครราชสีมา!J30"")"),0)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IFERROR(__xludf.DUMMYFUNCTION("IMPORTRANGE(""https://docs.google.com/spreadsheets/d/1XL5vhW3sbDhbH9Cz0tuDiY8C3ctxq1tqvaCgkFb8cCA/edit?usp=sharing"",""นครราชสีมา!I32"")"),6)</f>
        <v>6</v>
      </c>
      <c r="J92" s="142">
        <f ca="1">IFERROR(__xludf.DUMMYFUNCTION("IMPORTRANGE(""https://docs.google.com/spreadsheets/d/1XL5vhW3sbDhbH9Cz0tuDiY8C3ctxq1tqvaCgkFb8cCA/edit?usp=sharing"",""นครราชสีมา!J32"")"),6)</f>
        <v>6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IFERROR(__xludf.DUMMYFUNCTION("IMPORTRANGE(""https://docs.google.com/spreadsheets/d/1XL5vhW3sbDhbH9Cz0tuDiY8C3ctxq1tqvaCgkFb8cCA/edit?usp=sharing"",""นครราชสีมา!I33"")"),2)</f>
        <v>2</v>
      </c>
      <c r="J93" s="142">
        <f ca="1">IFERROR(__xludf.DUMMYFUNCTION("IMPORTRANGE(""https://docs.google.com/spreadsheets/d/1XL5vhW3sbDhbH9Cz0tuDiY8C3ctxq1tqvaCgkFb8cCA/edit?usp=sharing"",""นครราชสีมา!J33"")"),2)</f>
        <v>2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54" t="s">
        <v>17</v>
      </c>
      <c r="E94" s="555"/>
      <c r="F94" s="555"/>
      <c r="G94" s="555"/>
      <c r="H94" s="149" t="s">
        <v>12</v>
      </c>
      <c r="I94" s="162"/>
      <c r="J94" s="162"/>
      <c r="K94" s="163"/>
      <c r="L94" s="152">
        <f t="shared" ref="L94:N94" ca="1" si="52">L95+L96</f>
        <v>316780</v>
      </c>
      <c r="M94" s="152">
        <f t="shared" ca="1" si="52"/>
        <v>316780</v>
      </c>
      <c r="N94" s="152">
        <f t="shared" ca="1" si="52"/>
        <v>262150</v>
      </c>
      <c r="O94" s="151">
        <f t="shared" ref="O94:O96" ca="1" si="53">IF(L94&gt;0,N94*100/L94,0)</f>
        <v>82.754593092998292</v>
      </c>
      <c r="P94" s="151">
        <f t="shared" ref="P94:P96" ca="1" si="54">IF(M94&gt;0,N94*100/M94,0)</f>
        <v>82.754593092998292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316780</v>
      </c>
      <c r="M96" s="157">
        <f t="shared" ca="1" si="56"/>
        <v>316780</v>
      </c>
      <c r="N96" s="157">
        <f t="shared" ca="1" si="56"/>
        <v>262150</v>
      </c>
      <c r="O96" s="156">
        <f t="shared" ca="1" si="53"/>
        <v>82.754593092998292</v>
      </c>
      <c r="P96" s="156">
        <f t="shared" ca="1" si="54"/>
        <v>82.754593092998292</v>
      </c>
    </row>
    <row r="97" spans="1:16" ht="21.75" customHeight="1" x14ac:dyDescent="0.45">
      <c r="A97" s="158"/>
      <c r="B97" s="159"/>
      <c r="C97" s="159" t="s">
        <v>16</v>
      </c>
      <c r="D97" s="552" t="s">
        <v>20</v>
      </c>
      <c r="E97" s="553"/>
      <c r="F97" s="55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131980</v>
      </c>
      <c r="M98" s="168">
        <f ca="1">IFERROR(__xludf.DUMMYFUNCTION("IMPORTRANGE(""https://docs.google.com/spreadsheets/d/1Yj_ptqi66GCucihVvJfMjLAmec39IyEx_6qawtMGysU/edit?usp=sharing"",""สบก!AR42"")"),131980)</f>
        <v>131980</v>
      </c>
      <c r="N98" s="169">
        <f ca="1">IFERROR(__xludf.DUMMYFUNCTION("IMPORTRANGE(""https://docs.google.com/spreadsheets/d/1Yj_ptqi66GCucihVvJfMjLAmec39IyEx_6qawtMGysU/edit?usp=sharing"",""สบก!AS42"")"),77350)</f>
        <v>77350</v>
      </c>
      <c r="O98" s="169">
        <f ca="1">IF(L98&gt;0,N98*100/L98,0)</f>
        <v>58.607364752235185</v>
      </c>
      <c r="P98" s="169">
        <f ca="1">IF(M98&gt;0,N98*100/M98,0)</f>
        <v>58.607364752235185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IFERROR(__xludf.DUMMYFUNCTION("IMPORTRANGE(""https://docs.google.com/spreadsheets/d/1Yj_ptqi66GCucihVvJfMjLAmec39IyEx_6qawtMGysU/edit?usp=sharing"",""สบก!AN42"")"),0)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IFERROR(__xludf.DUMMYFUNCTION("IMPORTRANGE(""https://docs.google.com/spreadsheets/d/1Yj_ptqi66GCucihVvJfMjLAmec39IyEx_6qawtMGysU/edit?usp=sharing"",""สบก!AO42"")"),131980)</f>
        <v>131980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52" t="s">
        <v>23</v>
      </c>
      <c r="E101" s="55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IFERROR(__xludf.DUMMYFUNCTION("IMPORTRANGE(""https://docs.google.com/spreadsheets/d/1Yj_ptqi66GCucihVvJfMjLAmec39IyEx_6qawtMGysU/edit?usp=sharing"",""สบก!AP42"")"),184800)</f>
        <v>184800</v>
      </c>
      <c r="M102" s="49">
        <f ca="1">L102</f>
        <v>184800</v>
      </c>
      <c r="N102" s="49">
        <f ca="1">IFERROR(__xludf.DUMMYFUNCTION("IMPORTRANGE(""https://docs.google.com/spreadsheets/d/1Yj_ptqi66GCucihVvJfMjLAmec39IyEx_6qawtMGysU/edit?usp=sharing"",""สบก!AT42"")"),184800)</f>
        <v>184800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IFERROR(__xludf.DUMMYFUNCTION("IMPORTRANGE(""https://docs.google.com/spreadsheets/d/1XL5vhW3sbDhbH9Cz0tuDiY8C3ctxq1tqvaCgkFb8cCA/edit?usp=sharing"",""นครราชสีมา!J39"")"),0)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IFERROR(__xludf.DUMMYFUNCTION("IMPORTRANGE(""https://docs.google.com/spreadsheets/d/1XL5vhW3sbDhbH9Cz0tuDiY8C3ctxq1tqvaCgkFb8cCA/edit?usp=sharing"",""นครราชสีมา!J40"")"),1)</f>
        <v>1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IFERROR(__xludf.DUMMYFUNCTION("IMPORTRANGE(""https://docs.google.com/spreadsheets/d/1XL5vhW3sbDhbH9Cz0tuDiY8C3ctxq1tqvaCgkFb8cCA/edit?usp=sharing"",""นครราชสีมา!J41"")"),0)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IFERROR(__xludf.DUMMYFUNCTION("IMPORTRANGE(""https://docs.google.com/spreadsheets/d/1XL5vhW3sbDhbH9Cz0tuDiY8C3ctxq1tqvaCgkFb8cCA/edit?usp=sharing"",""นครราชสีมา!J42"")"),0)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IFERROR(__xludf.DUMMYFUNCTION("IMPORTRANGE(""https://docs.google.com/spreadsheets/d/1XL5vhW3sbDhbH9Cz0tuDiY8C3ctxq1tqvaCgkFb8cCA/edit?usp=sharing"",""นครราชสีมา!I43"")"),1)</f>
        <v>1</v>
      </c>
      <c r="J108" s="204">
        <f ca="1">IFERROR(__xludf.DUMMYFUNCTION("IMPORTRANGE(""https://docs.google.com/spreadsheets/d/1XL5vhW3sbDhbH9Cz0tuDiY8C3ctxq1tqvaCgkFb8cCA/edit?usp=sharing"",""นครราชสีมา!J43"")"),1)</f>
        <v>1</v>
      </c>
      <c r="K108" s="224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IFERROR(__xludf.DUMMYFUNCTION("IMPORTRANGE(""https://docs.google.com/spreadsheets/d/1XL5vhW3sbDhbH9Cz0tuDiY8C3ctxq1tqvaCgkFb8cCA/edit?usp=sharing"",""นครราชสีมา!I44"")"),6)</f>
        <v>6</v>
      </c>
      <c r="J109" s="204">
        <f ca="1">IFERROR(__xludf.DUMMYFUNCTION("IMPORTRANGE(""https://docs.google.com/spreadsheets/d/1XL5vhW3sbDhbH9Cz0tuDiY8C3ctxq1tqvaCgkFb8cCA/edit?usp=sharing"",""นครราชสีมา!J44"")"),6)</f>
        <v>6</v>
      </c>
      <c r="K109" s="224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IFERROR(__xludf.DUMMYFUNCTION("IMPORTRANGE(""https://docs.google.com/spreadsheets/d/1XL5vhW3sbDhbH9Cz0tuDiY8C3ctxq1tqvaCgkFb8cCA/edit?usp=sharing"",""นครราชสีมา!I45"")"),6)</f>
        <v>6</v>
      </c>
      <c r="J110" s="204">
        <f ca="1">IFERROR(__xludf.DUMMYFUNCTION("IMPORTRANGE(""https://docs.google.com/spreadsheets/d/1XL5vhW3sbDhbH9Cz0tuDiY8C3ctxq1tqvaCgkFb8cCA/edit?usp=sharing"",""นครราชสีมา!J45"")"),6)</f>
        <v>6</v>
      </c>
      <c r="K110" s="224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IFERROR(__xludf.DUMMYFUNCTION("IMPORTRANGE(""https://docs.google.com/spreadsheets/d/1XL5vhW3sbDhbH9Cz0tuDiY8C3ctxq1tqvaCgkFb8cCA/edit?usp=sharing"",""นครราชสีมา!I46"")"),6)</f>
        <v>6</v>
      </c>
      <c r="J111" s="204">
        <f ca="1">IFERROR(__xludf.DUMMYFUNCTION("IMPORTRANGE(""https://docs.google.com/spreadsheets/d/1XL5vhW3sbDhbH9Cz0tuDiY8C3ctxq1tqvaCgkFb8cCA/edit?usp=sharing"",""นครราชสีมา!J46"")"),6)</f>
        <v>6</v>
      </c>
      <c r="K111" s="224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IFERROR(__xludf.DUMMYFUNCTION("IMPORTRANGE(""https://docs.google.com/spreadsheets/d/1XL5vhW3sbDhbH9Cz0tuDiY8C3ctxq1tqvaCgkFb8cCA/edit?usp=sharing"",""นครราชสีมา!I47"")"),6)</f>
        <v>6</v>
      </c>
      <c r="J112" s="204">
        <f ca="1">IFERROR(__xludf.DUMMYFUNCTION("IMPORTRANGE(""https://docs.google.com/spreadsheets/d/1XL5vhW3sbDhbH9Cz0tuDiY8C3ctxq1tqvaCgkFb8cCA/edit?usp=sharing"",""นครราชสีมา!J47"")"),6)</f>
        <v>6</v>
      </c>
      <c r="K112" s="224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IFERROR(__xludf.DUMMYFUNCTION("IMPORTRANGE(""https://docs.google.com/spreadsheets/d/1XL5vhW3sbDhbH9Cz0tuDiY8C3ctxq1tqvaCgkFb8cCA/edit?usp=sharing"",""นครราชสีมา!I48"")"),2)</f>
        <v>2</v>
      </c>
      <c r="J113" s="204">
        <f ca="1">IFERROR(__xludf.DUMMYFUNCTION("IMPORTRANGE(""https://docs.google.com/spreadsheets/d/1XL5vhW3sbDhbH9Cz0tuDiY8C3ctxq1tqvaCgkFb8cCA/edit?usp=sharing"",""นครราชสีมา!J48"")"),2)</f>
        <v>2</v>
      </c>
      <c r="K113" s="224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IFERROR(__xludf.DUMMYFUNCTION("IMPORTRANGE(""https://docs.google.com/spreadsheets/d/1XL5vhW3sbDhbH9Cz0tuDiY8C3ctxq1tqvaCgkFb8cCA/edit?usp=sharing"",""นครราชสีมา!J49"")"),0)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IFERROR(__xludf.DUMMYFUNCTION("IMPORTRANGE(""https://docs.google.com/spreadsheets/d/1XL5vhW3sbDhbH9Cz0tuDiY8C3ctxq1tqvaCgkFb8cCA/edit?usp=sharing"",""นครราชสีมา!J50"")"),0)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IFERROR(__xludf.DUMMYFUNCTION("IMPORTRANGE(""https://docs.google.com/spreadsheets/d/1XL5vhW3sbDhbH9Cz0tuDiY8C3ctxq1tqvaCgkFb8cCA/edit?usp=sharing"",""นครราชสีมา!I52"")"),0)</f>
        <v>0</v>
      </c>
      <c r="J117" s="142">
        <f ca="1">IFERROR(__xludf.DUMMYFUNCTION("IMPORTRANGE(""https://docs.google.com/spreadsheets/d/1XL5vhW3sbDhbH9Cz0tuDiY8C3ctxq1tqvaCgkFb8cCA/edit?usp=sharing"",""นครราชสีมา!J52"")"),0)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54" t="s">
        <v>17</v>
      </c>
      <c r="E118" s="555"/>
      <c r="F118" s="555"/>
      <c r="G118" s="55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52" t="s">
        <v>20</v>
      </c>
      <c r="E121" s="553"/>
      <c r="F121" s="55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IFERROR(__xludf.DUMMYFUNCTION("IMPORTRANGE(""https://docs.google.com/spreadsheets/d/1Yj_ptqi66GCucihVvJfMjLAmec39IyEx_6qawtMGysU/edit?usp=sharing"",""สบก!BA42"")"),0)</f>
        <v>0</v>
      </c>
      <c r="N122" s="169">
        <f ca="1">IFERROR(__xludf.DUMMYFUNCTION("IMPORTRANGE(""https://docs.google.com/spreadsheets/d/1Yj_ptqi66GCucihVvJfMjLAmec39IyEx_6qawtMGysU/edit?usp=sharing"",""สบก!BB42"")"),0)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IFERROR(__xludf.DUMMYFUNCTION("IMPORTRANGE(""https://docs.google.com/spreadsheets/d/1Yj_ptqi66GCucihVvJfMjLAmec39IyEx_6qawtMGysU/edit?usp=sharing"",""สบก!AW42"")"),0)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IFERROR(__xludf.DUMMYFUNCTION("IMPORTRANGE(""https://docs.google.com/spreadsheets/d/1Yj_ptqi66GCucihVvJfMjLAmec39IyEx_6qawtMGysU/edit?usp=sharing"",""สบก!AX42"")"),0)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52" t="s">
        <v>23</v>
      </c>
      <c r="E125" s="55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IFERROR(__xludf.DUMMYFUNCTION("IMPORTRANGE(""https://docs.google.com/spreadsheets/d/1Yj_ptqi66GCucihVvJfMjLAmec39IyEx_6qawtMGysU/edit?usp=sharing"",""สบก!AY42"")"),0)</f>
        <v>0</v>
      </c>
      <c r="M126" s="49"/>
      <c r="N126" s="49">
        <f ca="1">IFERROR(__xludf.DUMMYFUNCTION("IMPORTRANGE(""https://docs.google.com/spreadsheets/d/1Yj_ptqi66GCucihVvJfMjLAmec39IyEx_6qawtMGysU/edit?usp=sharing"",""สบก!BC42"")"),0)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3" t="s">
        <v>247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IFERROR(__xludf.DUMMYFUNCTION("IMPORTRANGE(""https://docs.google.com/spreadsheets/d/1XL5vhW3sbDhbH9Cz0tuDiY8C3ctxq1tqvaCgkFb8cCA/edit?usp=sharing"",""นครราชสีมา!J58"")"),0)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IFERROR(__xludf.DUMMYFUNCTION("IMPORTRANGE(""https://docs.google.com/spreadsheets/d/1XL5vhW3sbDhbH9Cz0tuDiY8C3ctxq1tqvaCgkFb8cCA/edit?usp=sharing"",""นครราชสีมา!J59"")"),0)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IFERROR(__xludf.DUMMYFUNCTION("IMPORTRANGE(""https://docs.google.com/spreadsheets/d/1XL5vhW3sbDhbH9Cz0tuDiY8C3ctxq1tqvaCgkFb8cCA/edit?usp=sharing"",""นครราชสีมา!J60"")"),0)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IFERROR(__xludf.DUMMYFUNCTION("IMPORTRANGE(""https://docs.google.com/spreadsheets/d/1XL5vhW3sbDhbH9Cz0tuDiY8C3ctxq1tqvaCgkFb8cCA/edit?usp=sharing"",""นครราชสีมา!J61"")"),0)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IFERROR(__xludf.DUMMYFUNCTION("IMPORTRANGE(""https://docs.google.com/spreadsheets/d/1XL5vhW3sbDhbH9Cz0tuDiY8C3ctxq1tqvaCgkFb8cCA/edit?usp=sharing"",""นครราชสีมา!I62"")"),0)</f>
        <v>0</v>
      </c>
      <c r="J132" s="204">
        <f ca="1">IFERROR(__xludf.DUMMYFUNCTION("IMPORTRANGE(""https://docs.google.com/spreadsheets/d/1XL5vhW3sbDhbH9Cz0tuDiY8C3ctxq1tqvaCgkFb8cCA/edit?usp=sharing"",""นครราชสีมา!J62"")"),0)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IFERROR(__xludf.DUMMYFUNCTION("IMPORTRANGE(""https://docs.google.com/spreadsheets/d/1XL5vhW3sbDhbH9Cz0tuDiY8C3ctxq1tqvaCgkFb8cCA/edit?usp=sharing"",""นครราชสีมา!I63"")"),0)</f>
        <v>0</v>
      </c>
      <c r="J133" s="204">
        <f ca="1">IFERROR(__xludf.DUMMYFUNCTION("IMPORTRANGE(""https://docs.google.com/spreadsheets/d/1XL5vhW3sbDhbH9Cz0tuDiY8C3ctxq1tqvaCgkFb8cCA/edit?usp=sharing"",""นครราชสีมา!J63"")"),0)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IFERROR(__xludf.DUMMYFUNCTION("IMPORTRANGE(""https://docs.google.com/spreadsheets/d/1XL5vhW3sbDhbH9Cz0tuDiY8C3ctxq1tqvaCgkFb8cCA/edit?usp=sharing"",""นครราชสีมา!J64"")"),0)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IFERROR(__xludf.DUMMYFUNCTION("IMPORTRANGE(""https://docs.google.com/spreadsheets/d/1XL5vhW3sbDhbH9Cz0tuDiY8C3ctxq1tqvaCgkFb8cCA/edit?usp=sharing"",""นครราชสีมา!J65"")"),0)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IFERROR(__xludf.DUMMYFUNCTION("IMPORTRANGE(""https://docs.google.com/spreadsheets/d/1XL5vhW3sbDhbH9Cz0tuDiY8C3ctxq1tqvaCgkFb8cCA/edit?usp=sharing"",""นครราชสีมา!I68"")"),15)</f>
        <v>15</v>
      </c>
      <c r="J138" s="267">
        <f ca="1">IFERROR(__xludf.DUMMYFUNCTION("IMPORTRANGE(""https://docs.google.com/spreadsheets/d/1XL5vhW3sbDhbH9Cz0tuDiY8C3ctxq1tqvaCgkFb8cCA/edit?usp=sharing"",""นครราชสีมา!J68"")"),15)</f>
        <v>15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54" t="s">
        <v>17</v>
      </c>
      <c r="E140" s="555"/>
      <c r="F140" s="555"/>
      <c r="G140" s="555"/>
      <c r="H140" s="149" t="s">
        <v>12</v>
      </c>
      <c r="I140" s="162"/>
      <c r="J140" s="162"/>
      <c r="K140" s="163"/>
      <c r="L140" s="152">
        <f t="shared" ref="L140:N140" ca="1" si="64">L141+L142</f>
        <v>589600</v>
      </c>
      <c r="M140" s="152">
        <f t="shared" ca="1" si="64"/>
        <v>450825</v>
      </c>
      <c r="N140" s="152">
        <f t="shared" ca="1" si="64"/>
        <v>337182</v>
      </c>
      <c r="O140" s="151">
        <f t="shared" ref="O140:O142" ca="1" si="65">IF(L140&gt;0,N140*100/L140,0)</f>
        <v>57.188263229308006</v>
      </c>
      <c r="P140" s="151">
        <f t="shared" ref="P140:P142" ca="1" si="66">IF(M140&gt;0,N140*100/M140,0)</f>
        <v>74.792214273831306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589600</v>
      </c>
      <c r="M142" s="157">
        <f t="shared" ca="1" si="68"/>
        <v>450825</v>
      </c>
      <c r="N142" s="157">
        <f t="shared" ca="1" si="68"/>
        <v>337182</v>
      </c>
      <c r="O142" s="156">
        <f t="shared" ca="1" si="65"/>
        <v>57.188263229308006</v>
      </c>
      <c r="P142" s="156">
        <f t="shared" ca="1" si="66"/>
        <v>74.792214273831306</v>
      </c>
    </row>
    <row r="143" spans="1:16" ht="21.75" customHeight="1" x14ac:dyDescent="0.45">
      <c r="A143" s="158"/>
      <c r="B143" s="159"/>
      <c r="C143" s="159" t="s">
        <v>16</v>
      </c>
      <c r="D143" s="552" t="s">
        <v>20</v>
      </c>
      <c r="E143" s="553"/>
      <c r="F143" s="55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589600</v>
      </c>
      <c r="M144" s="168">
        <f ca="1">IFERROR(__xludf.DUMMYFUNCTION("IMPORTRANGE(""https://docs.google.com/spreadsheets/d/1Yj_ptqi66GCucihVvJfMjLAmec39IyEx_6qawtMGysU/edit?usp=sharing"",""สบก!BJ42"")"),450825)</f>
        <v>450825</v>
      </c>
      <c r="N144" s="169">
        <f ca="1">IFERROR(__xludf.DUMMYFUNCTION("IMPORTRANGE(""https://docs.google.com/spreadsheets/d/1Yj_ptqi66GCucihVvJfMjLAmec39IyEx_6qawtMGysU/edit?usp=sharing"",""สบก!BK42"")"),337182)</f>
        <v>337182</v>
      </c>
      <c r="O144" s="169">
        <f ca="1">IF(L144&gt;0,N144*100/L144,0)</f>
        <v>57.188263229308006</v>
      </c>
      <c r="P144" s="169">
        <f ca="1">IF(M144&gt;0,N144*100/M144,0)</f>
        <v>74.792214273831306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IFERROR(__xludf.DUMMYFUNCTION("IMPORTRANGE(""https://docs.google.com/spreadsheets/d/1Yj_ptqi66GCucihVvJfMjLAmec39IyEx_6qawtMGysU/edit?usp=sharing"",""สบก!BF42"")"),469600)</f>
        <v>469600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IFERROR(__xludf.DUMMYFUNCTION("IMPORTRANGE(""https://docs.google.com/spreadsheets/d/1Yj_ptqi66GCucihVvJfMjLAmec39IyEx_6qawtMGysU/edit?usp=sharing"",""สบก!BG42"")"),120000)</f>
        <v>120000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52" t="s">
        <v>23</v>
      </c>
      <c r="E147" s="55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IFERROR(__xludf.DUMMYFUNCTION("IMPORTRANGE(""https://docs.google.com/spreadsheets/d/1Yj_ptqi66GCucihVvJfMjLAmec39IyEx_6qawtMGysU/edit?usp=sharing"",""สบก!BH42"")"),0)</f>
        <v>0</v>
      </c>
      <c r="M148" s="49"/>
      <c r="N148" s="49">
        <f ca="1">IFERROR(__xludf.DUMMYFUNCTION("IMPORTRANGE(""https://docs.google.com/spreadsheets/d/1Yj_ptqi66GCucihVvJfMjLAmec39IyEx_6qawtMGysU/edit?usp=sharing"",""สบก!BL42"")"),0)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IFERROR(__xludf.DUMMYFUNCTION("IMPORTRANGE(""https://docs.google.com/spreadsheets/d/1XL5vhW3sbDhbH9Cz0tuDiY8C3ctxq1tqvaCgkFb8cCA/edit?usp=sharing"",""นครราชสีมา!I74"")"),4)</f>
        <v>4</v>
      </c>
      <c r="J149" s="275">
        <f ca="1">IFERROR(__xludf.DUMMYFUNCTION("IMPORTRANGE(""https://docs.google.com/spreadsheets/d/1XL5vhW3sbDhbH9Cz0tuDiY8C3ctxq1tqvaCgkFb8cCA/edit?usp=sharing"",""นครราชสีมา!J74"")"),2)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IFERROR(__xludf.DUMMYFUNCTION("IMPORTRANGE(""https://docs.google.com/spreadsheets/d/1XL5vhW3sbDhbH9Cz0tuDiY8C3ctxq1tqvaCgkFb8cCA/edit?usp=sharing"",""นครราชสีมา!J79"")"),0)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IFERROR(__xludf.DUMMYFUNCTION("IMPORTRANGE(""https://docs.google.com/spreadsheets/d/1XL5vhW3sbDhbH9Cz0tuDiY8C3ctxq1tqvaCgkFb8cCA/edit?usp=sharing"",""นครราชสีมา!J80"")"),1)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IFERROR(__xludf.DUMMYFUNCTION("IMPORTRANGE(""https://docs.google.com/spreadsheets/d/1XL5vhW3sbDhbH9Cz0tuDiY8C3ctxq1tqvaCgkFb8cCA/edit?usp=sharing"",""นครราชสีมา!J81"")"),0)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IFERROR(__xludf.DUMMYFUNCTION("IMPORTRANGE(""https://docs.google.com/spreadsheets/d/1XL5vhW3sbDhbH9Cz0tuDiY8C3ctxq1tqvaCgkFb8cCA/edit?usp=sharing"",""นครราชสีมา!J82"")"),0)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IFERROR(__xludf.DUMMYFUNCTION("IMPORTRANGE(""https://docs.google.com/spreadsheets/d/1XL5vhW3sbDhbH9Cz0tuDiY8C3ctxq1tqvaCgkFb8cCA/edit?usp=sharing"",""นครราชสีมา!I83"")"),4)</f>
        <v>4</v>
      </c>
      <c r="J158" s="189">
        <f ca="1">IFERROR(__xludf.DUMMYFUNCTION("IMPORTRANGE(""https://docs.google.com/spreadsheets/d/1XL5vhW3sbDhbH9Cz0tuDiY8C3ctxq1tqvaCgkFb8cCA/edit?usp=sharing"",""นครราชสีมา!J83"")"),2)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IFERROR(__xludf.DUMMYFUNCTION("IMPORTRANGE(""https://docs.google.com/spreadsheets/d/1XL5vhW3sbDhbH9Cz0tuDiY8C3ctxq1tqvaCgkFb8cCA/edit?usp=sharing"",""นครราชสีมา!J84"")"),85)</f>
        <v>85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IFERROR(__xludf.DUMMYFUNCTION("IMPORTRANGE(""https://docs.google.com/spreadsheets/d/1XL5vhW3sbDhbH9Cz0tuDiY8C3ctxq1tqvaCgkFb8cCA/edit?usp=sharing"",""นครราชสีมา!J85"")"),85)</f>
        <v>85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IFERROR(__xludf.DUMMYFUNCTION("IMPORTRANGE(""https://docs.google.com/spreadsheets/d/1XL5vhW3sbDhbH9Cz0tuDiY8C3ctxq1tqvaCgkFb8cCA/edit?usp=sharing"",""นครราชสีมา!J86"")"),0)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IFERROR(__xludf.DUMMYFUNCTION("IMPORTRANGE(""https://docs.google.com/spreadsheets/d/1XL5vhW3sbDhbH9Cz0tuDiY8C3ctxq1tqvaCgkFb8cCA/edit?usp=sharing"",""นครราชสีมา!J87"")"),0)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IFERROR(__xludf.DUMMYFUNCTION("IMPORTRANGE(""https://docs.google.com/spreadsheets/d/1XL5vhW3sbDhbH9Cz0tuDiY8C3ctxq1tqvaCgkFb8cCA/edit?usp=sharing"",""นครราชสีมา!J88"")"),0)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IFERROR(__xludf.DUMMYFUNCTION("IMPORTRANGE(""https://docs.google.com/spreadsheets/d/1XL5vhW3sbDhbH9Cz0tuDiY8C3ctxq1tqvaCgkFb8cCA/edit?usp=sharing"",""นครราชสีมา!I89"")"),5)</f>
        <v>5</v>
      </c>
      <c r="J164" s="284">
        <f ca="1">IFERROR(__xludf.DUMMYFUNCTION("IMPORTRANGE(""https://docs.google.com/spreadsheets/d/1XL5vhW3sbDhbH9Cz0tuDiY8C3ctxq1tqvaCgkFb8cCA/edit?usp=sharing"",""นครราชสีมา!J89"")"),5)</f>
        <v>5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IFERROR(__xludf.DUMMYFUNCTION("IMPORTRANGE(""https://docs.google.com/spreadsheets/d/1XL5vhW3sbDhbH9Cz0tuDiY8C3ctxq1tqvaCgkFb8cCA/edit?usp=sharing"",""นครราชสีมา!J94"")"),0)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IFERROR(__xludf.DUMMYFUNCTION("IMPORTRANGE(""https://docs.google.com/spreadsheets/d/1XL5vhW3sbDhbH9Cz0tuDiY8C3ctxq1tqvaCgkFb8cCA/edit?usp=sharing"",""นครราชสีมา!J95"")"),1)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IFERROR(__xludf.DUMMYFUNCTION("IMPORTRANGE(""https://docs.google.com/spreadsheets/d/1XL5vhW3sbDhbH9Cz0tuDiY8C3ctxq1tqvaCgkFb8cCA/edit?usp=sharing"",""นครราชสีมา!J96"")"),1)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IFERROR(__xludf.DUMMYFUNCTION("IMPORTRANGE(""https://docs.google.com/spreadsheets/d/1XL5vhW3sbDhbH9Cz0tuDiY8C3ctxq1tqvaCgkFb8cCA/edit?usp=sharing"",""นครราชสีมา!J97"")"),1)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IFERROR(__xludf.DUMMYFUNCTION("IMPORTRANGE(""https://docs.google.com/spreadsheets/d/1XL5vhW3sbDhbH9Cz0tuDiY8C3ctxq1tqvaCgkFb8cCA/edit?usp=sharing"",""นครราชสีมา!I98"")"),5)</f>
        <v>5</v>
      </c>
      <c r="J173" s="189">
        <f ca="1">IFERROR(__xludf.DUMMYFUNCTION("IMPORTRANGE(""https://docs.google.com/spreadsheets/d/1XL5vhW3sbDhbH9Cz0tuDiY8C3ctxq1tqvaCgkFb8cCA/edit?usp=sharing"",""นครราชสีมา!J98"")"),5)</f>
        <v>5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IFERROR(__xludf.DUMMYFUNCTION("IMPORTRANGE(""https://docs.google.com/spreadsheets/d/1XL5vhW3sbDhbH9Cz0tuDiY8C3ctxq1tqvaCgkFb8cCA/edit?usp=sharing"",""นครราชสีมา!J99"")"),1)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IFERROR(__xludf.DUMMYFUNCTION("IMPORTRANGE(""https://docs.google.com/spreadsheets/d/1XL5vhW3sbDhbH9Cz0tuDiY8C3ctxq1tqvaCgkFb8cCA/edit?usp=sharing"",""นครราชสีมา!J100"")"),0)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IFERROR(__xludf.DUMMYFUNCTION("IMPORTRANGE(""https://docs.google.com/spreadsheets/d/1XL5vhW3sbDhbH9Cz0tuDiY8C3ctxq1tqvaCgkFb8cCA/edit?usp=sharing"",""นครราชสีมา!I101"")"),0)</f>
        <v>0</v>
      </c>
      <c r="J176" s="284">
        <f ca="1">IFERROR(__xludf.DUMMYFUNCTION("IMPORTRANGE(""https://docs.google.com/spreadsheets/d/1XL5vhW3sbDhbH9Cz0tuDiY8C3ctxq1tqvaCgkFb8cCA/edit?usp=sharing"",""นครราชสีมา!J101"")"),0)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IFERROR(__xludf.DUMMYFUNCTION("IMPORTRANGE(""https://docs.google.com/spreadsheets/d/1XL5vhW3sbDhbH9Cz0tuDiY8C3ctxq1tqvaCgkFb8cCA/edit?usp=sharing"",""นครราชสีมา!J106"")"),0)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IFERROR(__xludf.DUMMYFUNCTION("IMPORTRANGE(""https://docs.google.com/spreadsheets/d/1XL5vhW3sbDhbH9Cz0tuDiY8C3ctxq1tqvaCgkFb8cCA/edit?usp=sharing"",""นครราชสีมา!J107"")"),0)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IFERROR(__xludf.DUMMYFUNCTION("IMPORTRANGE(""https://docs.google.com/spreadsheets/d/1XL5vhW3sbDhbH9Cz0tuDiY8C3ctxq1tqvaCgkFb8cCA/edit?usp=sharing"",""นครราชสีมา!J108"")"),0)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IFERROR(__xludf.DUMMYFUNCTION("IMPORTRANGE(""https://docs.google.com/spreadsheets/d/1XL5vhW3sbDhbH9Cz0tuDiY8C3ctxq1tqvaCgkFb8cCA/edit?usp=sharing"",""นครราชสีมา!J109"")"),0)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IFERROR(__xludf.DUMMYFUNCTION("IMPORTRANGE(""https://docs.google.com/spreadsheets/d/1XL5vhW3sbDhbH9Cz0tuDiY8C3ctxq1tqvaCgkFb8cCA/edit?usp=sharing"",""นครราชสีมา!I110"")"),0)</f>
        <v>0</v>
      </c>
      <c r="J185" s="204">
        <f ca="1">IFERROR(__xludf.DUMMYFUNCTION("IMPORTRANGE(""https://docs.google.com/spreadsheets/d/1XL5vhW3sbDhbH9Cz0tuDiY8C3ctxq1tqvaCgkFb8cCA/edit?usp=sharing"",""นครราชสีมา!J110"")"),0)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IFERROR(__xludf.DUMMYFUNCTION("IMPORTRANGE(""https://docs.google.com/spreadsheets/d/1XL5vhW3sbDhbH9Cz0tuDiY8C3ctxq1tqvaCgkFb8cCA/edit?usp=sharing"",""นครราชสีมา!I111"")"),0)</f>
        <v>0</v>
      </c>
      <c r="J186" s="204">
        <f ca="1">IFERROR(__xludf.DUMMYFUNCTION("IMPORTRANGE(""https://docs.google.com/spreadsheets/d/1XL5vhW3sbDhbH9Cz0tuDiY8C3ctxq1tqvaCgkFb8cCA/edit?usp=sharing"",""นครราชสีมา!J111"")"),0)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IFERROR(__xludf.DUMMYFUNCTION("IMPORTRANGE(""https://docs.google.com/spreadsheets/d/1XL5vhW3sbDhbH9Cz0tuDiY8C3ctxq1tqvaCgkFb8cCA/edit?usp=sharing"",""นครราชสีมา!J112"")"),0)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IFERROR(__xludf.DUMMYFUNCTION("IMPORTRANGE(""https://docs.google.com/spreadsheets/d/1XL5vhW3sbDhbH9Cz0tuDiY8C3ctxq1tqvaCgkFb8cCA/edit?usp=sharing"",""นครราชสีมา!J113"")"),0)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IFERROR(__xludf.DUMMYFUNCTION("IMPORTRANGE(""https://docs.google.com/spreadsheets/d/1XL5vhW3sbDhbH9Cz0tuDiY8C3ctxq1tqvaCgkFb8cCA/edit?usp=sharing"",""นครราชสีมา!I114"")"),70000)</f>
        <v>70000</v>
      </c>
      <c r="J189" s="284">
        <f ca="1">IFERROR(__xludf.DUMMYFUNCTION("IMPORTRANGE(""https://docs.google.com/spreadsheets/d/1XL5vhW3sbDhbH9Cz0tuDiY8C3ctxq1tqvaCgkFb8cCA/edit?usp=sharing"",""นครราชสีมา!J114"")"),0)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IFERROR(__xludf.DUMMYFUNCTION("IMPORTRANGE(""https://docs.google.com/spreadsheets/d/1XL5vhW3sbDhbH9Cz0tuDiY8C3ctxq1tqvaCgkFb8cCA/edit?usp=sharing"",""นครราชสีมา!J119"")"),0)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IFERROR(__xludf.DUMMYFUNCTION("IMPORTRANGE(""https://docs.google.com/spreadsheets/d/1XL5vhW3sbDhbH9Cz0tuDiY8C3ctxq1tqvaCgkFb8cCA/edit?usp=sharing"",""นครราชสีมา!J120"")"),1)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IFERROR(__xludf.DUMMYFUNCTION("IMPORTRANGE(""https://docs.google.com/spreadsheets/d/1XL5vhW3sbDhbH9Cz0tuDiY8C3ctxq1tqvaCgkFb8cCA/edit?usp=sharing"",""นครราชสีมา!J121"")"),1)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IFERROR(__xludf.DUMMYFUNCTION("IMPORTRANGE(""https://docs.google.com/spreadsheets/d/1XL5vhW3sbDhbH9Cz0tuDiY8C3ctxq1tqvaCgkFb8cCA/edit?usp=sharing"",""นครราชสีมา!J122"")"),1)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IFERROR(__xludf.DUMMYFUNCTION("IMPORTRANGE(""https://docs.google.com/spreadsheets/d/1XL5vhW3sbDhbH9Cz0tuDiY8C3ctxq1tqvaCgkFb8cCA/edit?usp=sharing"",""นครราชสีมา!I124"")"),70000)</f>
        <v>70000</v>
      </c>
      <c r="J199" s="189">
        <f ca="1">IFERROR(__xludf.DUMMYFUNCTION("IMPORTRANGE(""https://docs.google.com/spreadsheets/d/1XL5vhW3sbDhbH9Cz0tuDiY8C3ctxq1tqvaCgkFb8cCA/edit?usp=sharing"",""นครราชสีมา!J124"")"),0)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IFERROR(__xludf.DUMMYFUNCTION("IMPORTRANGE(""https://docs.google.com/spreadsheets/d/1XL5vhW3sbDhbH9Cz0tuDiY8C3ctxq1tqvaCgkFb8cCA/edit?usp=sharing"",""นครราชสีมา!I125"")"),70000)</f>
        <v>70000</v>
      </c>
      <c r="J200" s="189">
        <f ca="1">IFERROR(__xludf.DUMMYFUNCTION("IMPORTRANGE(""https://docs.google.com/spreadsheets/d/1XL5vhW3sbDhbH9Cz0tuDiY8C3ctxq1tqvaCgkFb8cCA/edit?usp=sharing"",""นครราชสีมา!J125"")"),0)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IFERROR(__xludf.DUMMYFUNCTION("IMPORTRANGE(""https://docs.google.com/spreadsheets/d/1XL5vhW3sbDhbH9Cz0tuDiY8C3ctxq1tqvaCgkFb8cCA/edit?usp=sharing"",""นครราชสีมา!I126"")"),15)</f>
        <v>15</v>
      </c>
      <c r="J201" s="189">
        <f ca="1">IFERROR(__xludf.DUMMYFUNCTION("IMPORTRANGE(""https://docs.google.com/spreadsheets/d/1XL5vhW3sbDhbH9Cz0tuDiY8C3ctxq1tqvaCgkFb8cCA/edit?usp=sharing"",""นครราชสีมา!J126"")"),15)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IFERROR(__xludf.DUMMYFUNCTION("IMPORTRANGE(""https://docs.google.com/spreadsheets/d/1XL5vhW3sbDhbH9Cz0tuDiY8C3ctxq1tqvaCgkFb8cCA/edit?usp=sharing"",""นครราชสีมา!J127"")"),0)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IFERROR(__xludf.DUMMYFUNCTION("IMPORTRANGE(""https://docs.google.com/spreadsheets/d/1XL5vhW3sbDhbH9Cz0tuDiY8C3ctxq1tqvaCgkFb8cCA/edit?usp=sharing"",""นครราชสีมา!J128"")"),0)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IFERROR(__xludf.DUMMYFUNCTION("IMPORTRANGE(""https://docs.google.com/spreadsheets/d/1XL5vhW3sbDhbH9Cz0tuDiY8C3ctxq1tqvaCgkFb8cCA/edit?usp=sharing"",""นครราชสีมา!I129"")"),0)</f>
        <v>0</v>
      </c>
      <c r="J204" s="284">
        <f ca="1">IFERROR(__xludf.DUMMYFUNCTION("IMPORTRANGE(""https://docs.google.com/spreadsheets/d/1XL5vhW3sbDhbH9Cz0tuDiY8C3ctxq1tqvaCgkFb8cCA/edit?usp=sharing"",""นครราชสีมา!J129"")"),0)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IFERROR(__xludf.DUMMYFUNCTION("IMPORTRANGE(""https://docs.google.com/spreadsheets/d/1XL5vhW3sbDhbH9Cz0tuDiY8C3ctxq1tqvaCgkFb8cCA/edit?usp=sharing"",""นครราชสีมา!J134"")"),0)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IFERROR(__xludf.DUMMYFUNCTION("IMPORTRANGE(""https://docs.google.com/spreadsheets/d/1XL5vhW3sbDhbH9Cz0tuDiY8C3ctxq1tqvaCgkFb8cCA/edit?usp=sharing"",""นครราชสีมา!J135"")"),0)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IFERROR(__xludf.DUMMYFUNCTION("IMPORTRANGE(""https://docs.google.com/spreadsheets/d/1XL5vhW3sbDhbH9Cz0tuDiY8C3ctxq1tqvaCgkFb8cCA/edit?usp=sharing"",""นครราชสีมา!J136"")"),0)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IFERROR(__xludf.DUMMYFUNCTION("IMPORTRANGE(""https://docs.google.com/spreadsheets/d/1XL5vhW3sbDhbH9Cz0tuDiY8C3ctxq1tqvaCgkFb8cCA/edit?usp=sharing"",""นครราชสีมา!J137"")"),0)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IFERROR(__xludf.DUMMYFUNCTION("IMPORTRANGE(""https://docs.google.com/spreadsheets/d/1XL5vhW3sbDhbH9Cz0tuDiY8C3ctxq1tqvaCgkFb8cCA/edit?usp=sharing"",""นครราชสีมา!I138"")"),0)</f>
        <v>0</v>
      </c>
      <c r="J213" s="204">
        <f ca="1">IFERROR(__xludf.DUMMYFUNCTION("IMPORTRANGE(""https://docs.google.com/spreadsheets/d/1XL5vhW3sbDhbH9Cz0tuDiY8C3ctxq1tqvaCgkFb8cCA/edit?usp=sharing"",""นครราชสีมา!J138"")"),0)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IFERROR(__xludf.DUMMYFUNCTION("IMPORTRANGE(""https://docs.google.com/spreadsheets/d/1XL5vhW3sbDhbH9Cz0tuDiY8C3ctxq1tqvaCgkFb8cCA/edit?usp=sharing"",""นครราชสีมา!I140"")"),0)</f>
        <v>0</v>
      </c>
      <c r="J215" s="204">
        <f ca="1">IFERROR(__xludf.DUMMYFUNCTION("IMPORTRANGE(""https://docs.google.com/spreadsheets/d/1XL5vhW3sbDhbH9Cz0tuDiY8C3ctxq1tqvaCgkFb8cCA/edit?usp=sharing"",""นครราชสีมา!J140"")"),0)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IFERROR(__xludf.DUMMYFUNCTION("IMPORTRANGE(""https://docs.google.com/spreadsheets/d/1XL5vhW3sbDhbH9Cz0tuDiY8C3ctxq1tqvaCgkFb8cCA/edit?usp=sharing"",""นครราชสีมา!I141"")"),0)</f>
        <v>0</v>
      </c>
      <c r="J216" s="204">
        <f ca="1">IFERROR(__xludf.DUMMYFUNCTION("IMPORTRANGE(""https://docs.google.com/spreadsheets/d/1XL5vhW3sbDhbH9Cz0tuDiY8C3ctxq1tqvaCgkFb8cCA/edit?usp=sharing"",""นครราชสีมา!J141"")"),0)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IFERROR(__xludf.DUMMYFUNCTION("IMPORTRANGE(""https://docs.google.com/spreadsheets/d/1XL5vhW3sbDhbH9Cz0tuDiY8C3ctxq1tqvaCgkFb8cCA/edit?usp=sharing"",""นครราชสีมา!J142"")"),0)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IFERROR(__xludf.DUMMYFUNCTION("IMPORTRANGE(""https://docs.google.com/spreadsheets/d/1XL5vhW3sbDhbH9Cz0tuDiY8C3ctxq1tqvaCgkFb8cCA/edit?usp=sharing"",""นครราชสีมา!J143"")"),0)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IFERROR(__xludf.DUMMYFUNCTION("IMPORTRANGE(""https://docs.google.com/spreadsheets/d/1XL5vhW3sbDhbH9Cz0tuDiY8C3ctxq1tqvaCgkFb8cCA/edit?usp=sharing"",""นครราชสีมา!I144"")"),15)</f>
        <v>15</v>
      </c>
      <c r="J219" s="267">
        <f ca="1">IFERROR(__xludf.DUMMYFUNCTION("IMPORTRANGE(""https://docs.google.com/spreadsheets/d/1XL5vhW3sbDhbH9Cz0tuDiY8C3ctxq1tqvaCgkFb8cCA/edit?usp=sharing"",""นครราชสีมา!J144"")"),15)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54" t="s">
        <v>17</v>
      </c>
      <c r="E220" s="555"/>
      <c r="F220" s="555"/>
      <c r="G220" s="55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5">
      <c r="A223" s="158"/>
      <c r="B223" s="159"/>
      <c r="C223" s="159" t="s">
        <v>16</v>
      </c>
      <c r="D223" s="278" t="s">
        <v>77</v>
      </c>
      <c r="E223" s="167"/>
      <c r="F223" s="167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IFERROR(__xludf.DUMMYFUNCTION("IMPORTRANGE(""https://docs.google.com/spreadsheets/d/1Yj_ptqi66GCucihVvJfMjLAmec39IyEx_6qawtMGysU/edit?usp=sharing"",""สบก!BS42"")"),21125)</f>
        <v>21125</v>
      </c>
      <c r="N224" s="169">
        <f ca="1">IFERROR(__xludf.DUMMYFUNCTION("IMPORTRANGE(""https://docs.google.com/spreadsheets/d/1Yj_ptqi66GCucihVvJfMjLAmec39IyEx_6qawtMGysU/edit?usp=sharing"",""สบก!BT42"")"),21125)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IFERROR(__xludf.DUMMYFUNCTION("IMPORTRANGE(""https://docs.google.com/spreadsheets/d/1Yj_ptqi66GCucihVvJfMjLAmec39IyEx_6qawtMGysU/edit?usp=sharing"",""สบก!BO42"")"),0)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IFERROR(__xludf.DUMMYFUNCTION("IMPORTRANGE(""https://docs.google.com/spreadsheets/d/1Yj_ptqi66GCucihVvJfMjLAmec39IyEx_6qawtMGysU/edit?usp=sharing"",""สบก!BP42"")"),21125)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52" t="s">
        <v>23</v>
      </c>
      <c r="E227" s="55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IFERROR(__xludf.DUMMYFUNCTION("IMPORTRANGE(""https://docs.google.com/spreadsheets/d/1Yj_ptqi66GCucihVvJfMjLAmec39IyEx_6qawtMGysU/edit?usp=sharing"",""สบก!BQ42"")"),0)</f>
        <v>0</v>
      </c>
      <c r="M228" s="49"/>
      <c r="N228" s="49">
        <f ca="1">IFERROR(__xludf.DUMMYFUNCTION("IMPORTRANGE(""https://docs.google.com/spreadsheets/d/1Yj_ptqi66GCucihVvJfMjLAmec39IyEx_6qawtMGysU/edit?usp=sharing"",""สบก!BU42"")"),0)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IFERROR(__xludf.DUMMYFUNCTION("IMPORTRANGE(""https://docs.google.com/spreadsheets/d/1XL5vhW3sbDhbH9Cz0tuDiY8C3ctxq1tqvaCgkFb8cCA/edit?usp=sharing"",""นครราชสีมา!I149"")"),15)</f>
        <v>15</v>
      </c>
      <c r="J229" s="267">
        <f ca="1">IFERROR(__xludf.DUMMYFUNCTION("IMPORTRANGE(""https://docs.google.com/spreadsheets/d/1XL5vhW3sbDhbH9Cz0tuDiY8C3ctxq1tqvaCgkFb8cCA/edit?usp=sharing"",""นครราชสีมา!J149"")"),15)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IFERROR(__xludf.DUMMYFUNCTION("IMPORTRANGE(""https://docs.google.com/spreadsheets/d/1XL5vhW3sbDhbH9Cz0tuDiY8C3ctxq1tqvaCgkFb8cCA/edit?usp=sharing"",""นครราชสีมา!J151"")"),0)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IFERROR(__xludf.DUMMYFUNCTION("IMPORTRANGE(""https://docs.google.com/spreadsheets/d/1XL5vhW3sbDhbH9Cz0tuDiY8C3ctxq1tqvaCgkFb8cCA/edit?usp=sharing"",""นครราชสีมา!J152"")"),0)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IFERROR(__xludf.DUMMYFUNCTION("IMPORTRANGE(""https://docs.google.com/spreadsheets/d/1XL5vhW3sbDhbH9Cz0tuDiY8C3ctxq1tqvaCgkFb8cCA/edit?usp=sharing"",""นครราชสีมา!J153"")"),0)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IFERROR(__xludf.DUMMYFUNCTION("IMPORTRANGE(""https://docs.google.com/spreadsheets/d/1XL5vhW3sbDhbH9Cz0tuDiY8C3ctxq1tqvaCgkFb8cCA/edit?usp=sharing"",""นครราชสีมา!J154"")"),0)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IFERROR(__xludf.DUMMYFUNCTION("IMPORTRANGE(""https://docs.google.com/spreadsheets/d/1XL5vhW3sbDhbH9Cz0tuDiY8C3ctxq1tqvaCgkFb8cCA/edit?usp=sharing"",""นครราชสีมา!I155"")"),15)</f>
        <v>15</v>
      </c>
      <c r="J235" s="189">
        <f ca="1">IFERROR(__xludf.DUMMYFUNCTION("IMPORTRANGE(""https://docs.google.com/spreadsheets/d/1XL5vhW3sbDhbH9Cz0tuDiY8C3ctxq1tqvaCgkFb8cCA/edit?usp=sharing"",""นครราชสีมา!J155"")"),15)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IFERROR(__xludf.DUMMYFUNCTION("IMPORTRANGE(""https://docs.google.com/spreadsheets/d/1XL5vhW3sbDhbH9Cz0tuDiY8C3ctxq1tqvaCgkFb8cCA/edit?usp=sharing"",""นครราชสีมา!J156"")"),1)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IFERROR(__xludf.DUMMYFUNCTION("IMPORTRANGE(""https://docs.google.com/spreadsheets/d/1XL5vhW3sbDhbH9Cz0tuDiY8C3ctxq1tqvaCgkFb8cCA/edit?usp=sharing"",""นครราชสีมา!J157"")"),1)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IFERROR(__xludf.DUMMYFUNCTION("IMPORTRANGE(""https://docs.google.com/spreadsheets/d/1XL5vhW3sbDhbH9Cz0tuDiY8C3ctxq1tqvaCgkFb8cCA/edit?usp=sharing"",""นครราชสีมา!I158"")"),0)</f>
        <v>0</v>
      </c>
      <c r="J238" s="267">
        <f ca="1">IFERROR(__xludf.DUMMYFUNCTION("IMPORTRANGE(""https://docs.google.com/spreadsheets/d/1XL5vhW3sbDhbH9Cz0tuDiY8C3ctxq1tqvaCgkFb8cCA/edit?usp=sharing"",""นครราชสีมา!J158"")"),0)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IFERROR(__xludf.DUMMYFUNCTION("IMPORTRANGE(""https://docs.google.com/spreadsheets/d/1XL5vhW3sbDhbH9Cz0tuDiY8C3ctxq1tqvaCgkFb8cCA/edit?usp=sharing"",""นครราชสีมา!J159"")"),"")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IFERROR(__xludf.DUMMYFUNCTION("IMPORTRANGE(""https://docs.google.com/spreadsheets/d/1XL5vhW3sbDhbH9Cz0tuDiY8C3ctxq1tqvaCgkFb8cCA/edit?usp=sharing"",""นครราชสีมา!J161"")"),0)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IFERROR(__xludf.DUMMYFUNCTION("IMPORTRANGE(""https://docs.google.com/spreadsheets/d/1XL5vhW3sbDhbH9Cz0tuDiY8C3ctxq1tqvaCgkFb8cCA/edit?usp=sharing"",""นครราชสีมา!J162"")"),0)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IFERROR(__xludf.DUMMYFUNCTION("IMPORTRANGE(""https://docs.google.com/spreadsheets/d/1XL5vhW3sbDhbH9Cz0tuDiY8C3ctxq1tqvaCgkFb8cCA/edit?usp=sharing"",""นครราชสีมา!J163"")"),0)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IFERROR(__xludf.DUMMYFUNCTION("IMPORTRANGE(""https://docs.google.com/spreadsheets/d/1XL5vhW3sbDhbH9Cz0tuDiY8C3ctxq1tqvaCgkFb8cCA/edit?usp=sharing"",""นครราชสีมา!I164"")"),0)</f>
        <v>0</v>
      </c>
      <c r="J244" s="188">
        <f ca="1">IFERROR(__xludf.DUMMYFUNCTION("IMPORTRANGE(""https://docs.google.com/spreadsheets/d/1XL5vhW3sbDhbH9Cz0tuDiY8C3ctxq1tqvaCgkFb8cCA/edit?usp=sharing"",""นครราชสีมา!J164"")"),0)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IFERROR(__xludf.DUMMYFUNCTION("IMPORTRANGE(""https://docs.google.com/spreadsheets/d/1XL5vhW3sbDhbH9Cz0tuDiY8C3ctxq1tqvaCgkFb8cCA/edit?usp=sharing"",""นครราชสีมา!J165"")"),0)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IFERROR(__xludf.DUMMYFUNCTION("IMPORTRANGE(""https://docs.google.com/spreadsheets/d/1XL5vhW3sbDhbH9Cz0tuDiY8C3ctxq1tqvaCgkFb8cCA/edit?usp=sharing"",""นครราชสีมา!J166"")"),0)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IFERROR(__xludf.DUMMYFUNCTION("IMPORTRANGE(""https://docs.google.com/spreadsheets/d/1XL5vhW3sbDhbH9Cz0tuDiY8C3ctxq1tqvaCgkFb8cCA/edit?usp=sharing"",""นครราชสีมา!I169"")"),50)</f>
        <v>50</v>
      </c>
      <c r="J249" s="316">
        <f ca="1">IFERROR(__xludf.DUMMYFUNCTION("IMPORTRANGE(""https://docs.google.com/spreadsheets/d/1XL5vhW3sbDhbH9Cz0tuDiY8C3ctxq1tqvaCgkFb8cCA/edit?usp=sharing"",""นครราชสีมา!J169"")"),50)</f>
        <v>50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54" t="s">
        <v>17</v>
      </c>
      <c r="E250" s="555"/>
      <c r="F250" s="555"/>
      <c r="G250" s="555"/>
      <c r="H250" s="149" t="s">
        <v>12</v>
      </c>
      <c r="I250" s="162"/>
      <c r="J250" s="162"/>
      <c r="K250" s="163"/>
      <c r="L250" s="152">
        <f t="shared" ref="L250:N250" ca="1" si="77">L251+L252</f>
        <v>292100</v>
      </c>
      <c r="M250" s="152">
        <f t="shared" ca="1" si="77"/>
        <v>270100</v>
      </c>
      <c r="N250" s="152">
        <f t="shared" ca="1" si="77"/>
        <v>97156.42</v>
      </c>
      <c r="O250" s="151">
        <f t="shared" ref="O250:O252" ca="1" si="78">IF(L250&gt;0,N250*100/L250,0)</f>
        <v>33.261355700102705</v>
      </c>
      <c r="P250" s="151">
        <f t="shared" ref="P250:P252" ca="1" si="79">IF(M250&gt;0,N250*100/M250,0)</f>
        <v>35.970536838208069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292100</v>
      </c>
      <c r="M252" s="157">
        <f t="shared" ca="1" si="81"/>
        <v>270100</v>
      </c>
      <c r="N252" s="157">
        <f t="shared" ca="1" si="81"/>
        <v>97156.42</v>
      </c>
      <c r="O252" s="156">
        <f t="shared" ca="1" si="78"/>
        <v>33.261355700102705</v>
      </c>
      <c r="P252" s="156">
        <f t="shared" ca="1" si="79"/>
        <v>35.970536838208069</v>
      </c>
    </row>
    <row r="253" spans="1:16" ht="21.75" customHeight="1" x14ac:dyDescent="0.45">
      <c r="A253" s="158"/>
      <c r="B253" s="159"/>
      <c r="C253" s="159" t="s">
        <v>16</v>
      </c>
      <c r="D253" s="552" t="s">
        <v>20</v>
      </c>
      <c r="E253" s="553"/>
      <c r="F253" s="55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292100</v>
      </c>
      <c r="M254" s="168">
        <f ca="1">IFERROR(__xludf.DUMMYFUNCTION("IMPORTRANGE(""https://docs.google.com/spreadsheets/d/1Yj_ptqi66GCucihVvJfMjLAmec39IyEx_6qawtMGysU/edit?usp=sharing"",""สบก!CB42"")"),270100)</f>
        <v>270100</v>
      </c>
      <c r="N254" s="169">
        <f ca="1">IFERROR(__xludf.DUMMYFUNCTION("IMPORTRANGE(""https://docs.google.com/spreadsheets/d/1Yj_ptqi66GCucihVvJfMjLAmec39IyEx_6qawtMGysU/edit?usp=sharing"",""สบก!CC42"")"),97156.42)</f>
        <v>97156.42</v>
      </c>
      <c r="O254" s="169">
        <f ca="1">IF(L254&gt;0,N254*100/L254,0)</f>
        <v>33.261355700102705</v>
      </c>
      <c r="P254" s="169">
        <f ca="1">IF(M254&gt;0,N254*100/M254,0)</f>
        <v>35.970536838208069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IFERROR(__xludf.DUMMYFUNCTION("IMPORTRANGE(""https://docs.google.com/spreadsheets/d/1Yj_ptqi66GCucihVvJfMjLAmec39IyEx_6qawtMGysU/edit?usp=sharing"",""สบก!BX42"")"),0)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IFERROR(__xludf.DUMMYFUNCTION("IMPORTRANGE(""https://docs.google.com/spreadsheets/d/1Yj_ptqi66GCucihVvJfMjLAmec39IyEx_6qawtMGysU/edit?usp=sharing"",""สบก!BY42"")"),292100)</f>
        <v>292100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52" t="s">
        <v>23</v>
      </c>
      <c r="E257" s="55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IFERROR(__xludf.DUMMYFUNCTION("IMPORTRANGE(""https://docs.google.com/spreadsheets/d/1Yj_ptqi66GCucihVvJfMjLAmec39IyEx_6qawtMGysU/edit?usp=sharing"",""สบก!BZ42"")"),0)</f>
        <v>0</v>
      </c>
      <c r="M258" s="49"/>
      <c r="N258" s="49">
        <f ca="1">IFERROR(__xludf.DUMMYFUNCTION("IMPORTRANGE(""https://docs.google.com/spreadsheets/d/1Yj_ptqi66GCucihVvJfMjLAmec39IyEx_6qawtMGysU/edit?usp=sharing"",""สบก!CD42"")"),0)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IFERROR(__xludf.DUMMYFUNCTION("IMPORTRANGE(""https://docs.google.com/spreadsheets/d/1XL5vhW3sbDhbH9Cz0tuDiY8C3ctxq1tqvaCgkFb8cCA/edit?usp=sharing"",""นครราชสีมา!J175"")"),0)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IFERROR(__xludf.DUMMYFUNCTION("IMPORTRANGE(""https://docs.google.com/spreadsheets/d/1XL5vhW3sbDhbH9Cz0tuDiY8C3ctxq1tqvaCgkFb8cCA/edit?usp=sharing"",""นครราชสีมา!J176"")"),1)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IFERROR(__xludf.DUMMYFUNCTION("IMPORTRANGE(""https://docs.google.com/spreadsheets/d/1XL5vhW3sbDhbH9Cz0tuDiY8C3ctxq1tqvaCgkFb8cCA/edit?usp=sharing"",""นครราชสีมา!J177"")"),0)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IFERROR(__xludf.DUMMYFUNCTION("IMPORTRANGE(""https://docs.google.com/spreadsheets/d/1XL5vhW3sbDhbH9Cz0tuDiY8C3ctxq1tqvaCgkFb8cCA/edit?usp=sharing"",""นครราชสีมา!J178"")"),0)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IFERROR(__xludf.DUMMYFUNCTION("IMPORTRANGE(""https://docs.google.com/spreadsheets/d/1XL5vhW3sbDhbH9Cz0tuDiY8C3ctxq1tqvaCgkFb8cCA/edit?usp=sharing"",""นครราชสีมา!I179"")"),1)</f>
        <v>1</v>
      </c>
      <c r="J264" s="189">
        <f ca="1">IFERROR(__xludf.DUMMYFUNCTION("IMPORTRANGE(""https://docs.google.com/spreadsheets/d/1XL5vhW3sbDhbH9Cz0tuDiY8C3ctxq1tqvaCgkFb8cCA/edit?usp=sharing"",""นครราชสีมา!J179"")"),0)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IFERROR(__xludf.DUMMYFUNCTION("IMPORTRANGE(""https://docs.google.com/spreadsheets/d/1XL5vhW3sbDhbH9Cz0tuDiY8C3ctxq1tqvaCgkFb8cCA/edit?usp=sharing"",""นครราชสีมา!I180"")"),50)</f>
        <v>50</v>
      </c>
      <c r="J265" s="189">
        <f ca="1">IFERROR(__xludf.DUMMYFUNCTION("IMPORTRANGE(""https://docs.google.com/spreadsheets/d/1XL5vhW3sbDhbH9Cz0tuDiY8C3ctxq1tqvaCgkFb8cCA/edit?usp=sharing"",""นครราชสีมา!J180"")"),50)</f>
        <v>50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IFERROR(__xludf.DUMMYFUNCTION("IMPORTRANGE(""https://docs.google.com/spreadsheets/d/1XL5vhW3sbDhbH9Cz0tuDiY8C3ctxq1tqvaCgkFb8cCA/edit?usp=sharing"",""นครราชสีมา!I181"")"),50)</f>
        <v>50</v>
      </c>
      <c r="J266" s="189">
        <f ca="1">IFERROR(__xludf.DUMMYFUNCTION("IMPORTRANGE(""https://docs.google.com/spreadsheets/d/1XL5vhW3sbDhbH9Cz0tuDiY8C3ctxq1tqvaCgkFb8cCA/edit?usp=sharing"",""นครราชสีมา!J181"")"),0)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IFERROR(__xludf.DUMMYFUNCTION("IMPORTRANGE(""https://docs.google.com/spreadsheets/d/1XL5vhW3sbDhbH9Cz0tuDiY8C3ctxq1tqvaCgkFb8cCA/edit?usp=sharing"",""นครราชสีมา!I182"")"),1)</f>
        <v>1</v>
      </c>
      <c r="J267" s="189">
        <f ca="1">IFERROR(__xludf.DUMMYFUNCTION("IMPORTRANGE(""https://docs.google.com/spreadsheets/d/1XL5vhW3sbDhbH9Cz0tuDiY8C3ctxq1tqvaCgkFb8cCA/edit?usp=sharing"",""นครราชสีมา!J182"")"),1)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IFERROR(__xludf.DUMMYFUNCTION("IMPORTRANGE(""https://docs.google.com/spreadsheets/d/1XL5vhW3sbDhbH9Cz0tuDiY8C3ctxq1tqvaCgkFb8cCA/edit?usp=sharing"",""นครราชสีมา!J183"")"),0)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IFERROR(__xludf.DUMMYFUNCTION("IMPORTRANGE(""https://docs.google.com/spreadsheets/d/1XL5vhW3sbDhbH9Cz0tuDiY8C3ctxq1tqvaCgkFb8cCA/edit?usp=sharing"",""นครราชสีมา!J184"")"),0)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IFERROR(__xludf.DUMMYFUNCTION("IMPORTRANGE(""https://docs.google.com/spreadsheets/d/1XL5vhW3sbDhbH9Cz0tuDiY8C3ctxq1tqvaCgkFb8cCA/edit?usp=sharing"",""นครราชสีมา!I185"")"),20)</f>
        <v>20</v>
      </c>
      <c r="J270" s="316">
        <f ca="1">IFERROR(__xludf.DUMMYFUNCTION("IMPORTRANGE(""https://docs.google.com/spreadsheets/d/1XL5vhW3sbDhbH9Cz0tuDiY8C3ctxq1tqvaCgkFb8cCA/edit?usp=sharing"",""นครราชสีมา!J185"")"),20)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54" t="s">
        <v>17</v>
      </c>
      <c r="E271" s="555"/>
      <c r="F271" s="555"/>
      <c r="G271" s="555"/>
      <c r="H271" s="149" t="s">
        <v>12</v>
      </c>
      <c r="I271" s="162"/>
      <c r="J271" s="162"/>
      <c r="K271" s="163"/>
      <c r="L271" s="152">
        <f t="shared" ref="L271:N271" ca="1" si="83">L272+L273</f>
        <v>73600</v>
      </c>
      <c r="M271" s="152">
        <f t="shared" ca="1" si="83"/>
        <v>33000</v>
      </c>
      <c r="N271" s="152">
        <f t="shared" ca="1" si="83"/>
        <v>23810</v>
      </c>
      <c r="O271" s="151">
        <f t="shared" ref="O271:O273" ca="1" si="84">IF(L271&gt;0,N271*100/L271,0)</f>
        <v>32.350543478260867</v>
      </c>
      <c r="P271" s="151">
        <f t="shared" ref="P271:P273" ca="1" si="85">IF(M271&gt;0,N271*100/M271,0)</f>
        <v>72.151515151515156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73600</v>
      </c>
      <c r="M273" s="157">
        <f t="shared" ca="1" si="87"/>
        <v>33000</v>
      </c>
      <c r="N273" s="157">
        <f t="shared" ca="1" si="87"/>
        <v>23810</v>
      </c>
      <c r="O273" s="156">
        <f t="shared" ca="1" si="84"/>
        <v>32.350543478260867</v>
      </c>
      <c r="P273" s="156">
        <f t="shared" ca="1" si="85"/>
        <v>72.151515151515156</v>
      </c>
    </row>
    <row r="274" spans="1:16" ht="21.75" customHeight="1" x14ac:dyDescent="0.45">
      <c r="A274" s="158"/>
      <c r="B274" s="159"/>
      <c r="C274" s="159" t="s">
        <v>16</v>
      </c>
      <c r="D274" s="552" t="s">
        <v>20</v>
      </c>
      <c r="E274" s="553"/>
      <c r="F274" s="55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73600</v>
      </c>
      <c r="M275" s="168">
        <f ca="1">IFERROR(__xludf.DUMMYFUNCTION("IMPORTRANGE(""https://docs.google.com/spreadsheets/d/1Yj_ptqi66GCucihVvJfMjLAmec39IyEx_6qawtMGysU/edit?usp=sharing"",""สบก!CK42"")"),33000)</f>
        <v>33000</v>
      </c>
      <c r="N275" s="169">
        <f ca="1">IFERROR(__xludf.DUMMYFUNCTION("IMPORTRANGE(""https://docs.google.com/spreadsheets/d/1Yj_ptqi66GCucihVvJfMjLAmec39IyEx_6qawtMGysU/edit?usp=sharing"",""สบก!CL42"")"),23810)</f>
        <v>23810</v>
      </c>
      <c r="O275" s="169">
        <f ca="1">IF(L275&gt;0,N275*100/L275,0)</f>
        <v>32.350543478260867</v>
      </c>
      <c r="P275" s="169">
        <f ca="1">IF(M275&gt;0,N275*100/M275,0)</f>
        <v>72.151515151515156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IFERROR(__xludf.DUMMYFUNCTION("IMPORTRANGE(""https://docs.google.com/spreadsheets/d/1Yj_ptqi66GCucihVvJfMjLAmec39IyEx_6qawtMGysU/edit?usp=sharing"",""สบก!CG42"")"),0)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IFERROR(__xludf.DUMMYFUNCTION("IMPORTRANGE(""https://docs.google.com/spreadsheets/d/1Yj_ptqi66GCucihVvJfMjLAmec39IyEx_6qawtMGysU/edit?usp=sharing"",""สบก!CH42"")"),73600)</f>
        <v>73600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52" t="s">
        <v>23</v>
      </c>
      <c r="E278" s="55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IFERROR(__xludf.DUMMYFUNCTION("IMPORTRANGE(""https://docs.google.com/spreadsheets/d/1Yj_ptqi66GCucihVvJfMjLAmec39IyEx_6qawtMGysU/edit?usp=sharing"",""สบก!CI42"")"),0)</f>
        <v>0</v>
      </c>
      <c r="M279" s="49"/>
      <c r="N279" s="49">
        <f ca="1">IFERROR(__xludf.DUMMYFUNCTION("IMPORTRANGE(""https://docs.google.com/spreadsheets/d/1Yj_ptqi66GCucihVvJfMjLAmec39IyEx_6qawtMGysU/edit?usp=sharing"",""สบก!CM42"")"),0)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IFERROR(__xludf.DUMMYFUNCTION("IMPORTRANGE(""https://docs.google.com/spreadsheets/d/1XL5vhW3sbDhbH9Cz0tuDiY8C3ctxq1tqvaCgkFb8cCA/edit?usp=sharing"",""นครราชสีมา!J191"")"),0)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IFERROR(__xludf.DUMMYFUNCTION("IMPORTRANGE(""https://docs.google.com/spreadsheets/d/1XL5vhW3sbDhbH9Cz0tuDiY8C3ctxq1tqvaCgkFb8cCA/edit?usp=sharing"",""นครราชสีมา!J192"")"),1)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IFERROR(__xludf.DUMMYFUNCTION("IMPORTRANGE(""https://docs.google.com/spreadsheets/d/1XL5vhW3sbDhbH9Cz0tuDiY8C3ctxq1tqvaCgkFb8cCA/edit?usp=sharing"",""นครราชสีมา!J193"")"),0)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IFERROR(__xludf.DUMMYFUNCTION("IMPORTRANGE(""https://docs.google.com/spreadsheets/d/1XL5vhW3sbDhbH9Cz0tuDiY8C3ctxq1tqvaCgkFb8cCA/edit?usp=sharing"",""นครราชสีมา!J194"")"),0)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IFERROR(__xludf.DUMMYFUNCTION("IMPORTRANGE(""https://docs.google.com/spreadsheets/d/1XL5vhW3sbDhbH9Cz0tuDiY8C3ctxq1tqvaCgkFb8cCA/edit?usp=sharing"",""นครราชสีมา!I195"")"),20)</f>
        <v>20</v>
      </c>
      <c r="J285" s="189">
        <f ca="1">IFERROR(__xludf.DUMMYFUNCTION("IMPORTRANGE(""https://docs.google.com/spreadsheets/d/1XL5vhW3sbDhbH9Cz0tuDiY8C3ctxq1tqvaCgkFb8cCA/edit?usp=sharing"",""นครราชสีมา!J195"")"),20)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IFERROR(__xludf.DUMMYFUNCTION("IMPORTRANGE(""https://docs.google.com/spreadsheets/d/1XL5vhW3sbDhbH9Cz0tuDiY8C3ctxq1tqvaCgkFb8cCA/edit?usp=sharing"",""นครราชสีมา!J196"")"),0)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IFERROR(__xludf.DUMMYFUNCTION("IMPORTRANGE(""https://docs.google.com/spreadsheets/d/1XL5vhW3sbDhbH9Cz0tuDiY8C3ctxq1tqvaCgkFb8cCA/edit?usp=sharing"",""นครราชสีมา!J197"")"),0)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IFERROR(__xludf.DUMMYFUNCTION("IMPORTRANGE(""https://docs.google.com/spreadsheets/d/1XL5vhW3sbDhbH9Cz0tuDiY8C3ctxq1tqvaCgkFb8cCA/edit?usp=sharing"",""นครราชสีมา!I199"")"),20)</f>
        <v>20</v>
      </c>
      <c r="J289" s="316">
        <f ca="1">IFERROR(__xludf.DUMMYFUNCTION("IMPORTRANGE(""https://docs.google.com/spreadsheets/d/1XL5vhW3sbDhbH9Cz0tuDiY8C3ctxq1tqvaCgkFb8cCA/edit?usp=sharing"",""นครราชสีมา!J199"")"),20)</f>
        <v>20</v>
      </c>
      <c r="K289" s="317">
        <f ca="1">IF(I289&gt;0,J289*100/I289,0)</f>
        <v>100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54" t="s">
        <v>17</v>
      </c>
      <c r="E290" s="555"/>
      <c r="F290" s="555"/>
      <c r="G290" s="555"/>
      <c r="H290" s="149" t="s">
        <v>12</v>
      </c>
      <c r="I290" s="188"/>
      <c r="J290" s="188"/>
      <c r="K290" s="224"/>
      <c r="L290" s="152">
        <f t="shared" ref="L290:N290" ca="1" si="88">L291+L292</f>
        <v>74920</v>
      </c>
      <c r="M290" s="152">
        <f t="shared" ca="1" si="88"/>
        <v>74920</v>
      </c>
      <c r="N290" s="152">
        <f t="shared" ca="1" si="88"/>
        <v>37068</v>
      </c>
      <c r="O290" s="151">
        <f t="shared" ref="O290:O292" ca="1" si="89">IF(L290&gt;0,N290*100/L290,0)</f>
        <v>49.4767752269087</v>
      </c>
      <c r="P290" s="151">
        <f t="shared" ref="P290:P292" ca="1" si="90">IF(M290&gt;0,N290*100/M290,0)</f>
        <v>49.4767752269087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74920</v>
      </c>
      <c r="M292" s="157">
        <f t="shared" ca="1" si="92"/>
        <v>74920</v>
      </c>
      <c r="N292" s="157">
        <f t="shared" ca="1" si="92"/>
        <v>37068</v>
      </c>
      <c r="O292" s="156">
        <f t="shared" ca="1" si="89"/>
        <v>49.4767752269087</v>
      </c>
      <c r="P292" s="156">
        <f t="shared" ca="1" si="90"/>
        <v>49.4767752269087</v>
      </c>
    </row>
    <row r="293" spans="1:16" ht="21.75" customHeight="1" x14ac:dyDescent="0.45">
      <c r="A293" s="158"/>
      <c r="B293" s="159"/>
      <c r="C293" s="159" t="s">
        <v>16</v>
      </c>
      <c r="D293" s="552" t="s">
        <v>20</v>
      </c>
      <c r="E293" s="553"/>
      <c r="F293" s="55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74920</v>
      </c>
      <c r="M294" s="168">
        <f ca="1">IFERROR(__xludf.DUMMYFUNCTION("IMPORTRANGE(""https://docs.google.com/spreadsheets/d/1Yj_ptqi66GCucihVvJfMjLAmec39IyEx_6qawtMGysU/edit?usp=sharing"",""สบก!CT42"")"),74920)</f>
        <v>74920</v>
      </c>
      <c r="N294" s="169">
        <f ca="1">IFERROR(__xludf.DUMMYFUNCTION("IMPORTRANGE(""https://docs.google.com/spreadsheets/d/1Yj_ptqi66GCucihVvJfMjLAmec39IyEx_6qawtMGysU/edit?usp=sharing"",""สบก!CU42"")"),37068)</f>
        <v>37068</v>
      </c>
      <c r="O294" s="169">
        <f ca="1">IF(L294&gt;0,N294*100/L294,0)</f>
        <v>49.4767752269087</v>
      </c>
      <c r="P294" s="169">
        <f ca="1">IF(M294&gt;0,N294*100/M294,0)</f>
        <v>49.4767752269087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IFERROR(__xludf.DUMMYFUNCTION("IMPORTRANGE(""https://docs.google.com/spreadsheets/d/1Yj_ptqi66GCucihVvJfMjLAmec39IyEx_6qawtMGysU/edit?usp=sharing"",""สบก!CP42"")"),0)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IFERROR(__xludf.DUMMYFUNCTION("IMPORTRANGE(""https://docs.google.com/spreadsheets/d/1Yj_ptqi66GCucihVvJfMjLAmec39IyEx_6qawtMGysU/edit?usp=sharing"",""สบก!CQ42"")"),74920)</f>
        <v>74920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52" t="s">
        <v>23</v>
      </c>
      <c r="E297" s="55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IFERROR(__xludf.DUMMYFUNCTION("IMPORTRANGE(""https://docs.google.com/spreadsheets/d/1Yj_ptqi66GCucihVvJfMjLAmec39IyEx_6qawtMGysU/edit?usp=sharing"",""สบก!CR42"")"),0)</f>
        <v>0</v>
      </c>
      <c r="M298" s="49"/>
      <c r="N298" s="49">
        <f ca="1">IFERROR(__xludf.DUMMYFUNCTION("IMPORTRANGE(""https://docs.google.com/spreadsheets/d/1Yj_ptqi66GCucihVvJfMjLAmec39IyEx_6qawtMGysU/edit?usp=sharing"",""สบก!CV42"")"),0)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IFERROR(__xludf.DUMMYFUNCTION("IMPORTRANGE(""https://docs.google.com/spreadsheets/d/1XL5vhW3sbDhbH9Cz0tuDiY8C3ctxq1tqvaCgkFb8cCA/edit?usp=sharing"",""นครราชสีมา!J205"")"),0)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IFERROR(__xludf.DUMMYFUNCTION("IMPORTRANGE(""https://docs.google.com/spreadsheets/d/1XL5vhW3sbDhbH9Cz0tuDiY8C3ctxq1tqvaCgkFb8cCA/edit?usp=sharing"",""นครราชสีมา!J206"")"),1)</f>
        <v>1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IFERROR(__xludf.DUMMYFUNCTION("IMPORTRANGE(""https://docs.google.com/spreadsheets/d/1XL5vhW3sbDhbH9Cz0tuDiY8C3ctxq1tqvaCgkFb8cCA/edit?usp=sharing"",""นครราชสีมา!J207"")"),1)</f>
        <v>1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IFERROR(__xludf.DUMMYFUNCTION("IMPORTRANGE(""https://docs.google.com/spreadsheets/d/1XL5vhW3sbDhbH9Cz0tuDiY8C3ctxq1tqvaCgkFb8cCA/edit?usp=sharing"",""นครราชสีมา!J208"")"),1)</f>
        <v>1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IFERROR(__xludf.DUMMYFUNCTION("IMPORTRANGE(""https://docs.google.com/spreadsheets/d/1XL5vhW3sbDhbH9Cz0tuDiY8C3ctxq1tqvaCgkFb8cCA/edit?usp=sharing"",""นครราชสีมา!I209"")"),20)</f>
        <v>20</v>
      </c>
      <c r="J304" s="204">
        <f ca="1">IFERROR(__xludf.DUMMYFUNCTION("IMPORTRANGE(""https://docs.google.com/spreadsheets/d/1XL5vhW3sbDhbH9Cz0tuDiY8C3ctxq1tqvaCgkFb8cCA/edit?usp=sharing"",""นครราชสีมา!J209"")"),20)</f>
        <v>20</v>
      </c>
      <c r="K304" s="224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IFERROR(__xludf.DUMMYFUNCTION("IMPORTRANGE(""https://docs.google.com/spreadsheets/d/1XL5vhW3sbDhbH9Cz0tuDiY8C3ctxq1tqvaCgkFb8cCA/edit?usp=sharing"",""นครราชสีมา!I211"")"),20)</f>
        <v>20</v>
      </c>
      <c r="J306" s="204">
        <f ca="1">IFERROR(__xludf.DUMMYFUNCTION("IMPORTRANGE(""https://docs.google.com/spreadsheets/d/1XL5vhW3sbDhbH9Cz0tuDiY8C3ctxq1tqvaCgkFb8cCA/edit?usp=sharing"",""นครราชสีมา!J211"")"),0)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IFERROR(__xludf.DUMMYFUNCTION("IMPORTRANGE(""https://docs.google.com/spreadsheets/d/1XL5vhW3sbDhbH9Cz0tuDiY8C3ctxq1tqvaCgkFb8cCA/edit?usp=sharing"",""นครราชสีมา!J212"")"),0)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IFERROR(__xludf.DUMMYFUNCTION("IMPORTRANGE(""https://docs.google.com/spreadsheets/d/1XL5vhW3sbDhbH9Cz0tuDiY8C3ctxq1tqvaCgkFb8cCA/edit?usp=sharing"",""นครราชสีมา!J213"")"),0)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IFERROR(__xludf.DUMMYFUNCTION("IMPORTRANGE(""https://docs.google.com/spreadsheets/d/1XL5vhW3sbDhbH9Cz0tuDiY8C3ctxq1tqvaCgkFb8cCA/edit?usp=sharing"",""นครราชสีมา!I214"")"),2)</f>
        <v>2</v>
      </c>
      <c r="J309" s="333">
        <f ca="1">IFERROR(__xludf.DUMMYFUNCTION("IMPORTRANGE(""https://docs.google.com/spreadsheets/d/1XL5vhW3sbDhbH9Cz0tuDiY8C3ctxq1tqvaCgkFb8cCA/edit?usp=sharing"",""นครราชสีมา!J214"")"),2)</f>
        <v>2</v>
      </c>
      <c r="K309" s="334">
        <f ca="1">IF(I309&gt;0,J309*100/I309,0)</f>
        <v>100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54" t="s">
        <v>17</v>
      </c>
      <c r="E310" s="555"/>
      <c r="F310" s="555"/>
      <c r="G310" s="555"/>
      <c r="H310" s="149" t="s">
        <v>12</v>
      </c>
      <c r="I310" s="336"/>
      <c r="J310" s="336"/>
      <c r="K310" s="337"/>
      <c r="L310" s="152">
        <f t="shared" ref="L310:N310" ca="1" si="93">L311+L312</f>
        <v>447600</v>
      </c>
      <c r="M310" s="152">
        <f t="shared" ca="1" si="93"/>
        <v>335700</v>
      </c>
      <c r="N310" s="152">
        <f t="shared" ca="1" si="93"/>
        <v>150986.16</v>
      </c>
      <c r="O310" s="151">
        <f t="shared" ref="O310:O312" ca="1" si="94">IF(L310&gt;0,N310*100/L310,0)</f>
        <v>33.732386058981234</v>
      </c>
      <c r="P310" s="151">
        <f t="shared" ref="P310:P312" ca="1" si="95">IF(M310&gt;0,N310*100/M310,0)</f>
        <v>44.976514745308315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447600</v>
      </c>
      <c r="M312" s="157">
        <f t="shared" ca="1" si="97"/>
        <v>335700</v>
      </c>
      <c r="N312" s="157">
        <f t="shared" ca="1" si="97"/>
        <v>150986.16</v>
      </c>
      <c r="O312" s="156">
        <f t="shared" ca="1" si="94"/>
        <v>33.732386058981234</v>
      </c>
      <c r="P312" s="156">
        <f t="shared" ca="1" si="95"/>
        <v>44.976514745308315</v>
      </c>
    </row>
    <row r="313" spans="1:16" ht="21.75" customHeight="1" x14ac:dyDescent="0.45">
      <c r="A313" s="158"/>
      <c r="B313" s="159"/>
      <c r="C313" s="159" t="s">
        <v>16</v>
      </c>
      <c r="D313" s="552" t="s">
        <v>20</v>
      </c>
      <c r="E313" s="553"/>
      <c r="F313" s="55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447600</v>
      </c>
      <c r="M314" s="168">
        <f ca="1">IFERROR(__xludf.DUMMYFUNCTION("IMPORTRANGE(""https://docs.google.com/spreadsheets/d/1Yj_ptqi66GCucihVvJfMjLAmec39IyEx_6qawtMGysU/edit?usp=sharing"",""สบก!DC42"")"),335700)</f>
        <v>335700</v>
      </c>
      <c r="N314" s="169">
        <f ca="1">IFERROR(__xludf.DUMMYFUNCTION("IMPORTRANGE(""https://docs.google.com/spreadsheets/d/1Yj_ptqi66GCucihVvJfMjLAmec39IyEx_6qawtMGysU/edit?usp=sharing"",""สบก!DD42"")"),150986.16)</f>
        <v>150986.16</v>
      </c>
      <c r="O314" s="169">
        <f ca="1">IF(L314&gt;0,N314*100/L314,0)</f>
        <v>33.732386058981234</v>
      </c>
      <c r="P314" s="169">
        <f ca="1">IF(M314&gt;0,N314*100/M314,0)</f>
        <v>44.976514745308315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IFERROR(__xludf.DUMMYFUNCTION("IMPORTRANGE(""https://docs.google.com/spreadsheets/d/1Yj_ptqi66GCucihVvJfMjLAmec39IyEx_6qawtMGysU/edit?usp=sharing"",""สบก!CY42"")"),0)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IFERROR(__xludf.DUMMYFUNCTION("IMPORTRANGE(""https://docs.google.com/spreadsheets/d/1Yj_ptqi66GCucihVvJfMjLAmec39IyEx_6qawtMGysU/edit?usp=sharing"",""สบก!CZ42"")"),447600)</f>
        <v>447600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52" t="s">
        <v>23</v>
      </c>
      <c r="E317" s="55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IFERROR(__xludf.DUMMYFUNCTION("IMPORTRANGE(""https://docs.google.com/spreadsheets/d/1Yj_ptqi66GCucihVvJfMjLAmec39IyEx_6qawtMGysU/edit?usp=sharing"",""สบก!DA42"")"),0)</f>
        <v>0</v>
      </c>
      <c r="M318" s="49"/>
      <c r="N318" s="49">
        <f ca="1">IFERROR(__xludf.DUMMYFUNCTION("IMPORTRANGE(""https://docs.google.com/spreadsheets/d/1Yj_ptqi66GCucihVvJfMjLAmec39IyEx_6qawtMGysU/edit?usp=sharing"",""สบก!DE42"")"),0)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IFERROR(__xludf.DUMMYFUNCTION("IMPORTRANGE(""https://docs.google.com/spreadsheets/d/1XL5vhW3sbDhbH9Cz0tuDiY8C3ctxq1tqvaCgkFb8cCA/edit?usp=sharing"",""นครราชสีมา!J220"")"),0)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IFERROR(__xludf.DUMMYFUNCTION("IMPORTRANGE(""https://docs.google.com/spreadsheets/d/1XL5vhW3sbDhbH9Cz0tuDiY8C3ctxq1tqvaCgkFb8cCA/edit?usp=sharing"",""นครราชสีมา!J221"")"),1)</f>
        <v>1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IFERROR(__xludf.DUMMYFUNCTION("IMPORTRANGE(""https://docs.google.com/spreadsheets/d/1XL5vhW3sbDhbH9Cz0tuDiY8C3ctxq1tqvaCgkFb8cCA/edit?usp=sharing"",""นครราชสีมา!J222"")"),0)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IFERROR(__xludf.DUMMYFUNCTION("IMPORTRANGE(""https://docs.google.com/spreadsheets/d/1XL5vhW3sbDhbH9Cz0tuDiY8C3ctxq1tqvaCgkFb8cCA/edit?usp=sharing"",""นครราชสีมา!J223"")"),0)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IFERROR(__xludf.DUMMYFUNCTION("IMPORTRANGE(""https://docs.google.com/spreadsheets/d/1XL5vhW3sbDhbH9Cz0tuDiY8C3ctxq1tqvaCgkFb8cCA/edit?usp=sharing"",""นครราชสีมา!I224"")"),2)</f>
        <v>2</v>
      </c>
      <c r="J324" s="204">
        <f ca="1">IFERROR(__xludf.DUMMYFUNCTION("IMPORTRANGE(""https://docs.google.com/spreadsheets/d/1XL5vhW3sbDhbH9Cz0tuDiY8C3ctxq1tqvaCgkFb8cCA/edit?usp=sharing"",""นครราชสีมา!J224"")"),2)</f>
        <v>2</v>
      </c>
      <c r="K324" s="224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IFERROR(__xludf.DUMMYFUNCTION("IMPORTRANGE(""https://docs.google.com/spreadsheets/d/1XL5vhW3sbDhbH9Cz0tuDiY8C3ctxq1tqvaCgkFb8cCA/edit?usp=sharing"",""นครราชสีมา!J225"")"),0)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IFERROR(__xludf.DUMMYFUNCTION("IMPORTRANGE(""https://docs.google.com/spreadsheets/d/1XL5vhW3sbDhbH9Cz0tuDiY8C3ctxq1tqvaCgkFb8cCA/edit?usp=sharing"",""นครราชสีมา!J226"")"),0)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IFERROR(__xludf.DUMMYFUNCTION("IMPORTRANGE(""https://docs.google.com/spreadsheets/d/1XL5vhW3sbDhbH9Cz0tuDiY8C3ctxq1tqvaCgkFb8cCA/edit?usp=sharing"",""นครราชสีมา!I228"")"),1550)</f>
        <v>1550</v>
      </c>
      <c r="J328" s="339">
        <f ca="1">IFERROR(__xludf.DUMMYFUNCTION("IMPORTRANGE(""https://docs.google.com/spreadsheets/d/1XL5vhW3sbDhbH9Cz0tuDiY8C3ctxq1tqvaCgkFb8cCA/edit?usp=sharing"",""นครราชสีมา!J228"")"),726)</f>
        <v>726</v>
      </c>
      <c r="K328" s="317">
        <f ca="1">IF(I328&gt;0,J328*100/I328,0)</f>
        <v>46.838709677419352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54" t="s">
        <v>17</v>
      </c>
      <c r="E329" s="555"/>
      <c r="F329" s="555"/>
      <c r="G329" s="555"/>
      <c r="H329" s="149" t="s">
        <v>12</v>
      </c>
      <c r="I329" s="162"/>
      <c r="J329" s="162"/>
      <c r="K329" s="163"/>
      <c r="L329" s="152">
        <f t="shared" ref="L329:N329" ca="1" si="98">L330+L331</f>
        <v>2505960</v>
      </c>
      <c r="M329" s="152">
        <f t="shared" ca="1" si="98"/>
        <v>1771890</v>
      </c>
      <c r="N329" s="152">
        <f t="shared" ca="1" si="98"/>
        <v>1404292.03</v>
      </c>
      <c r="O329" s="151">
        <f t="shared" ref="O329:O331" ca="1" si="99">IF(L329&gt;0,N329*100/L329,0)</f>
        <v>56.038086402017591</v>
      </c>
      <c r="P329" s="151">
        <f t="shared" ref="P329:P331" ca="1" si="100">IF(M329&gt;0,N329*100/M329,0)</f>
        <v>79.253905716494813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2505960</v>
      </c>
      <c r="M331" s="157">
        <f t="shared" ca="1" si="102"/>
        <v>1771890</v>
      </c>
      <c r="N331" s="157">
        <f t="shared" ca="1" si="102"/>
        <v>1404292.03</v>
      </c>
      <c r="O331" s="156">
        <f t="shared" ca="1" si="99"/>
        <v>56.038086402017591</v>
      </c>
      <c r="P331" s="156">
        <f t="shared" ca="1" si="100"/>
        <v>79.253905716494813</v>
      </c>
    </row>
    <row r="332" spans="1:16" ht="21.75" customHeight="1" x14ac:dyDescent="0.45">
      <c r="A332" s="158"/>
      <c r="B332" s="159"/>
      <c r="C332" s="159" t="s">
        <v>16</v>
      </c>
      <c r="D332" s="552" t="s">
        <v>20</v>
      </c>
      <c r="E332" s="553"/>
      <c r="F332" s="55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2505960</v>
      </c>
      <c r="M333" s="168">
        <f ca="1">IFERROR(__xludf.DUMMYFUNCTION("IMPORTRANGE(""https://docs.google.com/spreadsheets/d/1Yj_ptqi66GCucihVvJfMjLAmec39IyEx_6qawtMGysU/edit?usp=sharing"",""สบก!DL42"")"),1771890)</f>
        <v>1771890</v>
      </c>
      <c r="N333" s="169">
        <f ca="1">IFERROR(__xludf.DUMMYFUNCTION("IMPORTRANGE(""https://docs.google.com/spreadsheets/d/1Yj_ptqi66GCucihVvJfMjLAmec39IyEx_6qawtMGysU/edit?usp=sharing"",""สบก!DM42"")"),1404292.03)</f>
        <v>1404292.03</v>
      </c>
      <c r="O333" s="169">
        <f ca="1">IF(L333&gt;0,N333*100/L333,0)</f>
        <v>56.038086402017591</v>
      </c>
      <c r="P333" s="169">
        <f ca="1">IF(M333&gt;0,N333*100/M333,0)</f>
        <v>79.253905716494813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IFERROR(__xludf.DUMMYFUNCTION("IMPORTRANGE(""https://docs.google.com/spreadsheets/d/1Yj_ptqi66GCucihVvJfMjLAmec39IyEx_6qawtMGysU/edit?usp=sharing"",""สบก!DH42"")"),666000)</f>
        <v>666000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IFERROR(__xludf.DUMMYFUNCTION("IMPORTRANGE(""https://docs.google.com/spreadsheets/d/1Yj_ptqi66GCucihVvJfMjLAmec39IyEx_6qawtMGysU/edit?usp=sharing"",""สบก!DI42"")"),1839960)</f>
        <v>1839960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52" t="s">
        <v>23</v>
      </c>
      <c r="E336" s="55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IFERROR(__xludf.DUMMYFUNCTION("IMPORTRANGE(""https://docs.google.com/spreadsheets/d/1Yj_ptqi66GCucihVvJfMjLAmec39IyEx_6qawtMGysU/edit?usp=sharing"",""สบก!DJ42"")"),0)</f>
        <v>0</v>
      </c>
      <c r="M337" s="49"/>
      <c r="N337" s="49">
        <f ca="1">IFERROR(__xludf.DUMMYFUNCTION("IMPORTRANGE(""https://docs.google.com/spreadsheets/d/1Yj_ptqi66GCucihVvJfMjLAmec39IyEx_6qawtMGysU/edit?usp=sharing"",""สบก!DN42"")"),0)</f>
        <v>0</v>
      </c>
      <c r="O337" s="49">
        <f ca="1">IF(L337&gt;0,N337*100/L337,0)</f>
        <v>0</v>
      </c>
      <c r="P337" s="49"/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IFERROR(__xludf.DUMMYFUNCTION("IMPORTRANGE(""https://docs.google.com/spreadsheets/d/1XL5vhW3sbDhbH9Cz0tuDiY8C3ctxq1tqvaCgkFb8cCA/edit?usp=sharing"",""นครราชสีมา!I234"")"),0)</f>
        <v>0</v>
      </c>
      <c r="J339" s="188">
        <f ca="1">IFERROR(__xludf.DUMMYFUNCTION("IMPORTRANGE(""https://docs.google.com/spreadsheets/d/1XL5vhW3sbDhbH9Cz0tuDiY8C3ctxq1tqvaCgkFb8cCA/edit?usp=sharing"",""นครราชสีมา!J234"")"),928)</f>
        <v>928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IFERROR(__xludf.DUMMYFUNCTION("IMPORTRANGE(""https://docs.google.com/spreadsheets/d/1XL5vhW3sbDhbH9Cz0tuDiY8C3ctxq1tqvaCgkFb8cCA/edit?usp=sharing"",""นครราชสีมา!I235"")"),15600)</f>
        <v>15600</v>
      </c>
      <c r="J340" s="188">
        <f ca="1">IFERROR(__xludf.DUMMYFUNCTION("IMPORTRANGE(""https://docs.google.com/spreadsheets/d/1XL5vhW3sbDhbH9Cz0tuDiY8C3ctxq1tqvaCgkFb8cCA/edit?usp=sharing"",""นครราชสีมา!J235"")"),8989.35)</f>
        <v>8989.35</v>
      </c>
      <c r="K340" s="342">
        <f t="shared" ca="1" si="103"/>
        <v>57.624038461538461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IFERROR(__xludf.DUMMYFUNCTION("IMPORTRANGE(""https://docs.google.com/spreadsheets/d/1XL5vhW3sbDhbH9Cz0tuDiY8C3ctxq1tqvaCgkFb8cCA/edit?usp=sharing"",""นครราชสีมา!I236"")"),1550)</f>
        <v>1550</v>
      </c>
      <c r="J341" s="188">
        <f ca="1">IFERROR(__xludf.DUMMYFUNCTION("IMPORTRANGE(""https://docs.google.com/spreadsheets/d/1XL5vhW3sbDhbH9Cz0tuDiY8C3ctxq1tqvaCgkFb8cCA/edit?usp=sharing"",""นครราชสีมา!J236"")"),1173)</f>
        <v>1173</v>
      </c>
      <c r="K341" s="342">
        <f t="shared" ca="1" si="103"/>
        <v>75.677419354838705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IFERROR(__xludf.DUMMYFUNCTION("IMPORTRANGE(""https://docs.google.com/spreadsheets/d/1XL5vhW3sbDhbH9Cz0tuDiY8C3ctxq1tqvaCgkFb8cCA/edit?usp=sharing"",""นครราชสีมา!I237"")"),0)</f>
        <v>0</v>
      </c>
      <c r="J342" s="188">
        <f ca="1">IFERROR(__xludf.DUMMYFUNCTION("IMPORTRANGE(""https://docs.google.com/spreadsheets/d/1XL5vhW3sbDhbH9Cz0tuDiY8C3ctxq1tqvaCgkFb8cCA/edit?usp=sharing"",""นครราชสีมา!J237"")"),14516.21)</f>
        <v>14516.21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IFERROR(__xludf.DUMMYFUNCTION("IMPORTRANGE(""https://docs.google.com/spreadsheets/d/1XL5vhW3sbDhbH9Cz0tuDiY8C3ctxq1tqvaCgkFb8cCA/edit?usp=sharing"",""นครราชสีมา!I238"")"),1550)</f>
        <v>1550</v>
      </c>
      <c r="J343" s="188">
        <f ca="1">IFERROR(__xludf.DUMMYFUNCTION("IMPORTRANGE(""https://docs.google.com/spreadsheets/d/1XL5vhW3sbDhbH9Cz0tuDiY8C3ctxq1tqvaCgkFb8cCA/edit?usp=sharing"",""นครราชสีมา!J238"")"),0)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IFERROR(__xludf.DUMMYFUNCTION("IMPORTRANGE(""https://docs.google.com/spreadsheets/d/1XL5vhW3sbDhbH9Cz0tuDiY8C3ctxq1tqvaCgkFb8cCA/edit?usp=sharing"",""นครราชสีมา!I239"")"),0)</f>
        <v>0</v>
      </c>
      <c r="J344" s="188">
        <f ca="1">IFERROR(__xludf.DUMMYFUNCTION("IMPORTRANGE(""https://docs.google.com/spreadsheets/d/1XL5vhW3sbDhbH9Cz0tuDiY8C3ctxq1tqvaCgkFb8cCA/edit?usp=sharing"",""นครราชสีมา!J239"")"),0)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IFERROR(__xludf.DUMMYFUNCTION("IMPORTRANGE(""https://docs.google.com/spreadsheets/d/1XL5vhW3sbDhbH9Cz0tuDiY8C3ctxq1tqvaCgkFb8cCA/edit?usp=sharing"",""นครราชสีมา!I240"")"),1550)</f>
        <v>1550</v>
      </c>
      <c r="J345" s="188">
        <f ca="1">IFERROR(__xludf.DUMMYFUNCTION("IMPORTRANGE(""https://docs.google.com/spreadsheets/d/1XL5vhW3sbDhbH9Cz0tuDiY8C3ctxq1tqvaCgkFb8cCA/edit?usp=sharing"",""นครราชสีมา!J240"")"),726)</f>
        <v>726</v>
      </c>
      <c r="K345" s="342">
        <f t="shared" ca="1" si="103"/>
        <v>46.838709677419352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IFERROR(__xludf.DUMMYFUNCTION("IMPORTRANGE(""https://docs.google.com/spreadsheets/d/1XL5vhW3sbDhbH9Cz0tuDiY8C3ctxq1tqvaCgkFb8cCA/edit?usp=sharing"",""นครราชสีมา!I241"")"),0)</f>
        <v>0</v>
      </c>
      <c r="J346" s="188">
        <f ca="1">IFERROR(__xludf.DUMMYFUNCTION("IMPORTRANGE(""https://docs.google.com/spreadsheets/d/1XL5vhW3sbDhbH9Cz0tuDiY8C3ctxq1tqvaCgkFb8cCA/edit?usp=sharing"",""นครราชสีมา!J241"")"),10092.74)</f>
        <v>10092.74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IFERROR(__xludf.DUMMYFUNCTION("IMPORTRANGE(""https://docs.google.com/spreadsheets/d/1XL5vhW3sbDhbH9Cz0tuDiY8C3ctxq1tqvaCgkFb8cCA/edit?usp=sharing"",""นครราชสีมา!L242"")"),4380421)</f>
        <v>4380421</v>
      </c>
      <c r="M347" s="358"/>
      <c r="N347" s="358">
        <f ca="1">IFERROR(__xludf.DUMMYFUNCTION("IMPORTRANGE(""https://docs.google.com/spreadsheets/d/1XL5vhW3sbDhbH9Cz0tuDiY8C3ctxq1tqvaCgkFb8cCA/edit?usp=sharing"",""นครราชสีมา!M242"")"),2162276.96)</f>
        <v>2162276.96</v>
      </c>
      <c r="O347" s="358">
        <f ca="1">+IF(L347&gt;0,N347*100/L347,0)</f>
        <v>49.362309239226093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IFERROR(__xludf.DUMMYFUNCTION("IMPORTRANGE(""https://docs.google.com/spreadsheets/d/1XL5vhW3sbDhbH9Cz0tuDiY8C3ctxq1tqvaCgkFb8cCA/edit?usp=sharing"",""นครราชสีมา!I244"")"),200)</f>
        <v>200</v>
      </c>
      <c r="J349" s="371">
        <f ca="1">IFERROR(__xludf.DUMMYFUNCTION("IMPORTRANGE(""https://docs.google.com/spreadsheets/d/1XL5vhW3sbDhbH9Cz0tuDiY8C3ctxq1tqvaCgkFb8cCA/edit?usp=sharing"",""นครราชสีมา!J244"")"),200)</f>
        <v>200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IFERROR(__xludf.DUMMYFUNCTION("IMPORTRANGE(""https://docs.google.com/spreadsheets/d/1XL5vhW3sbDhbH9Cz0tuDiY8C3ctxq1tqvaCgkFb8cCA/edit?usp=sharing"",""นครราชสีมา!L244"")"),529200)</f>
        <v>529200</v>
      </c>
      <c r="M349" s="373"/>
      <c r="N349" s="373">
        <f ca="1">IFERROR(__xludf.DUMMYFUNCTION("IMPORTRANGE(""https://docs.google.com/spreadsheets/d/1XL5vhW3sbDhbH9Cz0tuDiY8C3ctxq1tqvaCgkFb8cCA/edit?usp=sharing"",""นครราชสีมา!M244"")"),410399.92)</f>
        <v>410399.92</v>
      </c>
      <c r="O349" s="373">
        <f ca="1">+IF(L349&gt;0,N349*100/L349,0)</f>
        <v>77.551005291005296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IFERROR(__xludf.DUMMYFUNCTION("IMPORTRANGE(""https://docs.google.com/spreadsheets/d/1XL5vhW3sbDhbH9Cz0tuDiY8C3ctxq1tqvaCgkFb8cCA/edit?usp=sharing"",""นครราชสีมา!I245"")"),100)</f>
        <v>100</v>
      </c>
      <c r="J350" s="371">
        <f ca="1">IFERROR(__xludf.DUMMYFUNCTION("IMPORTRANGE(""https://docs.google.com/spreadsheets/d/1XL5vhW3sbDhbH9Cz0tuDiY8C3ctxq1tqvaCgkFb8cCA/edit?usp=sharing"",""นครราชสีมา!J245"")"),100)</f>
        <v>100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IFERROR(__xludf.DUMMYFUNCTION("IMPORTRANGE(""https://docs.google.com/spreadsheets/d/1XL5vhW3sbDhbH9Cz0tuDiY8C3ctxq1tqvaCgkFb8cCA/edit?usp=sharing"",""นครราชสีมา!L246"")"),0)</f>
        <v>0</v>
      </c>
      <c r="M351" s="164"/>
      <c r="N351" s="164">
        <f ca="1">IFERROR(__xludf.DUMMYFUNCTION("IMPORTRANGE(""https://docs.google.com/spreadsheets/d/1XL5vhW3sbDhbH9Cz0tuDiY8C3ctxq1tqvaCgkFb8cCA/edit?usp=sharing"",""นครราชสีมา!M246"")"),0)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IFERROR(__xludf.DUMMYFUNCTION("IMPORTRANGE(""https://docs.google.com/spreadsheets/d/1XL5vhW3sbDhbH9Cz0tuDiY8C3ctxq1tqvaCgkFb8cCA/edit?usp=sharing"",""นครราชสีมา!L247"")"),529200)</f>
        <v>529200</v>
      </c>
      <c r="M352" s="165"/>
      <c r="N352" s="164">
        <f ca="1">IFERROR(__xludf.DUMMYFUNCTION("IMPORTRANGE(""https://docs.google.com/spreadsheets/d/1XL5vhW3sbDhbH9Cz0tuDiY8C3ctxq1tqvaCgkFb8cCA/edit?usp=sharing"",""นครราชสีมา!M247"")"),410399.92)</f>
        <v>410399.92</v>
      </c>
      <c r="O352" s="165">
        <f t="shared" ca="1" si="105"/>
        <v>77.551005291005296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IFERROR(__xludf.DUMMYFUNCTION("IMPORTRANGE(""https://docs.google.com/spreadsheets/d/1XL5vhW3sbDhbH9Cz0tuDiY8C3ctxq1tqvaCgkFb8cCA/edit?usp=sharing"",""นครราชสีมา!L248"")"),0)</f>
        <v>0</v>
      </c>
      <c r="M353" s="169"/>
      <c r="N353" s="169">
        <f ca="1">IFERROR(__xludf.DUMMYFUNCTION("IMPORTRANGE(""https://docs.google.com/spreadsheets/d/1XL5vhW3sbDhbH9Cz0tuDiY8C3ctxq1tqvaCgkFb8cCA/edit?usp=sharing"",""นครราชสีมา!M248"")"),0)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IFERROR(__xludf.DUMMYFUNCTION("IMPORTRANGE(""https://docs.google.com/spreadsheets/d/1XL5vhW3sbDhbH9Cz0tuDiY8C3ctxq1tqvaCgkFb8cCA/edit?usp=sharing"",""นครราชสีมา!L249"")"),529200)</f>
        <v>529200</v>
      </c>
      <c r="M354" s="169"/>
      <c r="N354" s="168">
        <f ca="1">IFERROR(__xludf.DUMMYFUNCTION("IMPORTRANGE(""https://docs.google.com/spreadsheets/d/1XL5vhW3sbDhbH9Cz0tuDiY8C3ctxq1tqvaCgkFb8cCA/edit?usp=sharing"",""นครราชสีมา!M249"")"),410399.92)</f>
        <v>410399.92</v>
      </c>
      <c r="O354" s="169">
        <f t="shared" ca="1" si="105"/>
        <v>77.551005291005296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IFERROR(__xludf.DUMMYFUNCTION("IMPORTRANGE(""https://docs.google.com/spreadsheets/d/1XL5vhW3sbDhbH9Cz0tuDiY8C3ctxq1tqvaCgkFb8cCA/edit?usp=sharing"",""นครราชสีมา!M250"")"),118800)</f>
        <v>118800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IFERROR(__xludf.DUMMYFUNCTION("IMPORTRANGE(""https://docs.google.com/spreadsheets/d/1XL5vhW3sbDhbH9Cz0tuDiY8C3ctxq1tqvaCgkFb8cCA/edit?usp=sharing"",""นครราชสีมา!M251"")"),224000)</f>
        <v>224000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IFERROR(__xludf.DUMMYFUNCTION("IMPORTRANGE(""https://docs.google.com/spreadsheets/d/1XL5vhW3sbDhbH9Cz0tuDiY8C3ctxq1tqvaCgkFb8cCA/edit?usp=sharing"",""นครราชสีมา!M252"")"),62399.92)</f>
        <v>62399.92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IFERROR(__xludf.DUMMYFUNCTION("IMPORTRANGE(""https://docs.google.com/spreadsheets/d/1XL5vhW3sbDhbH9Cz0tuDiY8C3ctxq1tqvaCgkFb8cCA/edit?usp=sharing"",""นครราชสีมา!M253"")"),5200)</f>
        <v>5200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IFERROR(__xludf.DUMMYFUNCTION("IMPORTRANGE(""https://docs.google.com/spreadsheets/d/1XL5vhW3sbDhbH9Cz0tuDiY8C3ctxq1tqvaCgkFb8cCA/edit?usp=sharing"",""นครราชสีมา!J255"")"),0)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IFERROR(__xludf.DUMMYFUNCTION("IMPORTRANGE(""https://docs.google.com/spreadsheets/d/1XL5vhW3sbDhbH9Cz0tuDiY8C3ctxq1tqvaCgkFb8cCA/edit?usp=sharing"",""นครราชสีมา!J256"")"),1)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IFERROR(__xludf.DUMMYFUNCTION("IMPORTRANGE(""https://docs.google.com/spreadsheets/d/1XL5vhW3sbDhbH9Cz0tuDiY8C3ctxq1tqvaCgkFb8cCA/edit?usp=sharing"",""นครราชสีมา!J257"")"),0)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IFERROR(__xludf.DUMMYFUNCTION("IMPORTRANGE(""https://docs.google.com/spreadsheets/d/1XL5vhW3sbDhbH9Cz0tuDiY8C3ctxq1tqvaCgkFb8cCA/edit?usp=sharing"",""นครราชสีมา!J258"")"),0)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IFERROR(__xludf.DUMMYFUNCTION("IMPORTRANGE(""https://docs.google.com/spreadsheets/d/1XL5vhW3sbDhbH9Cz0tuDiY8C3ctxq1tqvaCgkFb8cCA/edit?usp=sharing"",""นครราชสีมา!J166"")"),0)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IFERROR(__xludf.DUMMYFUNCTION("IMPORTRANGE(""https://docs.google.com/spreadsheets/d/1XL5vhW3sbDhbH9Cz0tuDiY8C3ctxq1tqvaCgkFb8cCA/edit?usp=sharing"",""นครราชสีมา!J166"")"),0)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IFERROR(__xludf.DUMMYFUNCTION("IMPORTRANGE(""https://docs.google.com/spreadsheets/d/1XL5vhW3sbDhbH9Cz0tuDiY8C3ctxq1tqvaCgkFb8cCA/edit?usp=sharing"",""นครราชสีมา!J166"")"),0)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IFERROR(__xludf.DUMMYFUNCTION("IMPORTRANGE(""https://docs.google.com/spreadsheets/d/1XL5vhW3sbDhbH9Cz0tuDiY8C3ctxq1tqvaCgkFb8cCA/edit?usp=sharing"",""นครราชสีมา!J166"")"),0)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IFERROR(__xludf.DUMMYFUNCTION("IMPORTRANGE(""https://docs.google.com/spreadsheets/d/1XL5vhW3sbDhbH9Cz0tuDiY8C3ctxq1tqvaCgkFb8cCA/edit?usp=sharing"",""นครราชสีมา!I263"")"),100)</f>
        <v>100</v>
      </c>
      <c r="J368" s="188">
        <f ca="1">IFERROR(__xludf.DUMMYFUNCTION("IMPORTRANGE(""https://docs.google.com/spreadsheets/d/1XL5vhW3sbDhbH9Cz0tuDiY8C3ctxq1tqvaCgkFb8cCA/edit?usp=sharing"",""นครราชสีมา!J263"")"),100)</f>
        <v>100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IFERROR(__xludf.DUMMYFUNCTION("IMPORTRANGE(""https://docs.google.com/spreadsheets/d/1XL5vhW3sbDhbH9Cz0tuDiY8C3ctxq1tqvaCgkFb8cCA/edit?usp=sharing"",""นครราชสีมา!I164"")"),0)</f>
        <v>0</v>
      </c>
      <c r="J369" s="204">
        <f ca="1">IFERROR(__xludf.DUMMYFUNCTION("IMPORTRANGE(""https://docs.google.com/spreadsheets/d/1XL5vhW3sbDhbH9Cz0tuDiY8C3ctxq1tqvaCgkFb8cCA/edit?usp=sharing"",""นครราชสีมา!J164"")"),0)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293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IFERROR(__xludf.DUMMYFUNCTION("IMPORTRANGE(""https://docs.google.com/spreadsheets/d/1XL5vhW3sbDhbH9Cz0tuDiY8C3ctxq1tqvaCgkFb8cCA/edit?usp=sharing"",""นครราชสีมา!I265"")"),100)</f>
        <v>100</v>
      </c>
      <c r="J370" s="204">
        <f ca="1">IFERROR(__xludf.DUMMYFUNCTION("IMPORTRANGE(""https://docs.google.com/spreadsheets/d/1XL5vhW3sbDhbH9Cz0tuDiY8C3ctxq1tqvaCgkFb8cCA/edit?usp=sharing"",""นครราชสีมา!J265"")"),100)</f>
        <v>100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IFERROR(__xludf.DUMMYFUNCTION("IMPORTRANGE(""https://docs.google.com/spreadsheets/d/1XL5vhW3sbDhbH9Cz0tuDiY8C3ctxq1tqvaCgkFb8cCA/edit?usp=sharing"",""นครราชสีมา!I164"")"),0)</f>
        <v>0</v>
      </c>
      <c r="J371" s="189">
        <f ca="1">IFERROR(__xludf.DUMMYFUNCTION("IMPORTRANGE(""https://docs.google.com/spreadsheets/d/1XL5vhW3sbDhbH9Cz0tuDiY8C3ctxq1tqvaCgkFb8cCA/edit?usp=sharing"",""นครราชสีมา!J164"")"),0)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293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IFERROR(__xludf.DUMMYFUNCTION("IMPORTRANGE(""https://docs.google.com/spreadsheets/d/1XL5vhW3sbDhbH9Cz0tuDiY8C3ctxq1tqvaCgkFb8cCA/edit?usp=sharing"",""นครราชสีมา!I267"")"),100)</f>
        <v>100</v>
      </c>
      <c r="J372" s="189">
        <f ca="1">IFERROR(__xludf.DUMMYFUNCTION("IMPORTRANGE(""https://docs.google.com/spreadsheets/d/1XL5vhW3sbDhbH9Cz0tuDiY8C3ctxq1tqvaCgkFb8cCA/edit?usp=sharing"",""นครราชสีมา!J267"")"),100)</f>
        <v>100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IFERROR(__xludf.DUMMYFUNCTION("IMPORTRANGE(""https://docs.google.com/spreadsheets/d/1XL5vhW3sbDhbH9Cz0tuDiY8C3ctxq1tqvaCgkFb8cCA/edit?usp=sharing"",""นครราชสีมา!I164"")"),0)</f>
        <v>0</v>
      </c>
      <c r="J373" s="204">
        <f ca="1">IFERROR(__xludf.DUMMYFUNCTION("IMPORTRANGE(""https://docs.google.com/spreadsheets/d/1XL5vhW3sbDhbH9Cz0tuDiY8C3ctxq1tqvaCgkFb8cCA/edit?usp=sharing"",""นครราชสีมา!J164"")"),0)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IFERROR(__xludf.DUMMYFUNCTION("IMPORTRANGE(""https://docs.google.com/spreadsheets/d/1XL5vhW3sbDhbH9Cz0tuDiY8C3ctxq1tqvaCgkFb8cCA/edit?usp=sharing"",""นครราชสีมา!I164"")"),0)</f>
        <v>0</v>
      </c>
      <c r="J374" s="188">
        <f ca="1">IFERROR(__xludf.DUMMYFUNCTION("IMPORTRANGE(""https://docs.google.com/spreadsheets/d/1XL5vhW3sbDhbH9Cz0tuDiY8C3ctxq1tqvaCgkFb8cCA/edit?usp=sharing"",""นครราชสีมา!J164"")"),0)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IFERROR(__xludf.DUMMYFUNCTION("IMPORTRANGE(""https://docs.google.com/spreadsheets/d/1XL5vhW3sbDhbH9Cz0tuDiY8C3ctxq1tqvaCgkFb8cCA/edit?usp=sharing"",""นครราชสีมา!I270"")"),200)</f>
        <v>200</v>
      </c>
      <c r="J375" s="188">
        <f ca="1">IFERROR(__xludf.DUMMYFUNCTION("IMPORTRANGE(""https://docs.google.com/spreadsheets/d/1XL5vhW3sbDhbH9Cz0tuDiY8C3ctxq1tqvaCgkFb8cCA/edit?usp=sharing"",""นครราชสีมา!J270"")"),200)</f>
        <v>200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IFERROR(__xludf.DUMMYFUNCTION("IMPORTRANGE(""https://docs.google.com/spreadsheets/d/1XL5vhW3sbDhbH9Cz0tuDiY8C3ctxq1tqvaCgkFb8cCA/edit?usp=sharing"",""นครราชสีมา!I271"")"),140)</f>
        <v>140</v>
      </c>
      <c r="J376" s="189">
        <f ca="1">IFERROR(__xludf.DUMMYFUNCTION("IMPORTRANGE(""https://docs.google.com/spreadsheets/d/1XL5vhW3sbDhbH9Cz0tuDiY8C3ctxq1tqvaCgkFb8cCA/edit?usp=sharing"",""นครราชสีมา!J271"")"),140)</f>
        <v>140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IFERROR(__xludf.DUMMYFUNCTION("IMPORTRANGE(""https://docs.google.com/spreadsheets/d/1XL5vhW3sbDhbH9Cz0tuDiY8C3ctxq1tqvaCgkFb8cCA/edit?usp=sharing"",""นครราชสีมา!I272"")"),60)</f>
        <v>60</v>
      </c>
      <c r="J377" s="204">
        <f ca="1">IFERROR(__xludf.DUMMYFUNCTION("IMPORTRANGE(""https://docs.google.com/spreadsheets/d/1XL5vhW3sbDhbH9Cz0tuDiY8C3ctxq1tqvaCgkFb8cCA/edit?usp=sharing"",""นครราชสีมา!J272"")"),60)</f>
        <v>60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IFERROR(__xludf.DUMMYFUNCTION("IMPORTRANGE(""https://docs.google.com/spreadsheets/d/1XL5vhW3sbDhbH9Cz0tuDiY8C3ctxq1tqvaCgkFb8cCA/edit?usp=sharing"",""นครราชสีมา!J273"")"),0)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IFERROR(__xludf.DUMMYFUNCTION("IMPORTRANGE(""https://docs.google.com/spreadsheets/d/1XL5vhW3sbDhbH9Cz0tuDiY8C3ctxq1tqvaCgkFb8cCA/edit?usp=sharing"",""นครราชสีมา!J274"")"),0)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IFERROR(__xludf.DUMMYFUNCTION("IMPORTRANGE(""https://docs.google.com/spreadsheets/d/1XL5vhW3sbDhbH9Cz0tuDiY8C3ctxq1tqvaCgkFb8cCA/edit?usp=sharing"",""นครราชสีมา!I275"")"),1000)</f>
        <v>1000</v>
      </c>
      <c r="J380" s="371">
        <f ca="1">IFERROR(__xludf.DUMMYFUNCTION("IMPORTRANGE(""https://docs.google.com/spreadsheets/d/1XL5vhW3sbDhbH9Cz0tuDiY8C3ctxq1tqvaCgkFb8cCA/edit?usp=sharing"",""นครราชสีมา!J275"")"),0)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IFERROR(__xludf.DUMMYFUNCTION("IMPORTRANGE(""https://docs.google.com/spreadsheets/d/1XL5vhW3sbDhbH9Cz0tuDiY8C3ctxq1tqvaCgkFb8cCA/edit?usp=sharing"",""นครราชสีมา!L275"")"),1028520)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IFERROR(__xludf.DUMMYFUNCTION("IMPORTRANGE(""https://docs.google.com/spreadsheets/d/1XL5vhW3sbDhbH9Cz0tuDiY8C3ctxq1tqvaCgkFb8cCA/edit?usp=sharing"",""นครราชสีมา!M275"")"),123560)</f>
        <v>123560</v>
      </c>
      <c r="O380" s="373">
        <f ca="1">+IF(L380&gt;0,N380*100/L380,0)</f>
        <v>12.013378446700113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IFERROR(__xludf.DUMMYFUNCTION("IMPORTRANGE(""https://docs.google.com/spreadsheets/d/1XL5vhW3sbDhbH9Cz0tuDiY8C3ctxq1tqvaCgkFb8cCA/edit?usp=sharing"",""นครราชสีมา!I276"")"),100)</f>
        <v>100</v>
      </c>
      <c r="J381" s="371">
        <f ca="1">IFERROR(__xludf.DUMMYFUNCTION("IMPORTRANGE(""https://docs.google.com/spreadsheets/d/1XL5vhW3sbDhbH9Cz0tuDiY8C3ctxq1tqvaCgkFb8cCA/edit?usp=sharing"",""นครราชสีมา!J276"")"),100)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IFERROR(__xludf.DUMMYFUNCTION("IMPORTRANGE(""https://docs.google.com/spreadsheets/d/1XL5vhW3sbDhbH9Cz0tuDiY8C3ctxq1tqvaCgkFb8cCA/edit?usp=sharing"",""นครราชสีมา!L277"")"),0)</f>
        <v>0</v>
      </c>
      <c r="M382" s="164"/>
      <c r="N382" s="164">
        <f ca="1">IFERROR(__xludf.DUMMYFUNCTION("IMPORTRANGE(""https://docs.google.com/spreadsheets/d/1XL5vhW3sbDhbH9Cz0tuDiY8C3ctxq1tqvaCgkFb8cCA/edit?usp=sharing"",""นครราชสีมา!M277"")"),0)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IFERROR(__xludf.DUMMYFUNCTION("IMPORTRANGE(""https://docs.google.com/spreadsheets/d/1XL5vhW3sbDhbH9Cz0tuDiY8C3ctxq1tqvaCgkFb8cCA/edit?usp=sharing"",""นครราชสีมา!L278"")"),1028520)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IFERROR(__xludf.DUMMYFUNCTION("IMPORTRANGE(""https://docs.google.com/spreadsheets/d/1XL5vhW3sbDhbH9Cz0tuDiY8C3ctxq1tqvaCgkFb8cCA/edit?usp=sharing"",""นครราชสีมา!M278"")"),123560)</f>
        <v>123560</v>
      </c>
      <c r="O383" s="165">
        <f t="shared" ca="1" si="109"/>
        <v>12.013378446700113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IFERROR(__xludf.DUMMYFUNCTION("IMPORTRANGE(""https://docs.google.com/spreadsheets/d/1XL5vhW3sbDhbH9Cz0tuDiY8C3ctxq1tqvaCgkFb8cCA/edit?usp=sharing"",""นครราชสีมา!L279"")"),0)</f>
        <v>0</v>
      </c>
      <c r="M384" s="169"/>
      <c r="N384" s="169">
        <f ca="1">IFERROR(__xludf.DUMMYFUNCTION("IMPORTRANGE(""https://docs.google.com/spreadsheets/d/1XL5vhW3sbDhbH9Cz0tuDiY8C3ctxq1tqvaCgkFb8cCA/edit?usp=sharing"",""นครราชสีมา!M279"")"),0)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IFERROR(__xludf.DUMMYFUNCTION("IMPORTRANGE(""https://docs.google.com/spreadsheets/d/1XL5vhW3sbDhbH9Cz0tuDiY8C3ctxq1tqvaCgkFb8cCA/edit?usp=sharing"",""นครราชสีมา!L280"")"),1028520)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IFERROR(__xludf.DUMMYFUNCTION("IMPORTRANGE(""https://docs.google.com/spreadsheets/d/1XL5vhW3sbDhbH9Cz0tuDiY8C3ctxq1tqvaCgkFb8cCA/edit?usp=sharing"",""นครราชสีมา!M280"")"),123560)</f>
        <v>123560</v>
      </c>
      <c r="O385" s="169">
        <f t="shared" ca="1" si="109"/>
        <v>12.013378446700113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IFERROR(__xludf.DUMMYFUNCTION("IMPORTRANGE(""https://docs.google.com/spreadsheets/d/1XL5vhW3sbDhbH9Cz0tuDiY8C3ctxq1tqvaCgkFb8cCA/edit?usp=sharing"",""นครราชสีมา!M281"")"),53700)</f>
        <v>53700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IFERROR(__xludf.DUMMYFUNCTION("IMPORTRANGE(""https://docs.google.com/spreadsheets/d/1XL5vhW3sbDhbH9Cz0tuDiY8C3ctxq1tqvaCgkFb8cCA/edit?usp=sharing"",""นครราชสีมา!M282"")"),0)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IFERROR(__xludf.DUMMYFUNCTION("IMPORTRANGE(""https://docs.google.com/spreadsheets/d/1XL5vhW3sbDhbH9Cz0tuDiY8C3ctxq1tqvaCgkFb8cCA/edit?usp=sharing"",""นครราชสีมา!M283"")"),58400)</f>
        <v>58400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IFERROR(__xludf.DUMMYFUNCTION("IMPORTRANGE(""https://docs.google.com/spreadsheets/d/1XL5vhW3sbDhbH9Cz0tuDiY8C3ctxq1tqvaCgkFb8cCA/edit?usp=sharing"",""นครราชสีมา!M284"")"),11460)</f>
        <v>11460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IFERROR(__xludf.DUMMYFUNCTION("IMPORTRANGE(""https://docs.google.com/spreadsheets/d/1XL5vhW3sbDhbH9Cz0tuDiY8C3ctxq1tqvaCgkFb8cCA/edit?usp=sharing"",""นครราชสีมา!J286"")"),0)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IFERROR(__xludf.DUMMYFUNCTION("IMPORTRANGE(""https://docs.google.com/spreadsheets/d/1XL5vhW3sbDhbH9Cz0tuDiY8C3ctxq1tqvaCgkFb8cCA/edit?usp=sharing"",""นครราชสีมา!J287"")"),1)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IFERROR(__xludf.DUMMYFUNCTION("IMPORTRANGE(""https://docs.google.com/spreadsheets/d/1XL5vhW3sbDhbH9Cz0tuDiY8C3ctxq1tqvaCgkFb8cCA/edit?usp=sharing"",""นครราชสีมา!J288"")"),1)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IFERROR(__xludf.DUMMYFUNCTION("IMPORTRANGE(""https://docs.google.com/spreadsheets/d/1XL5vhW3sbDhbH9Cz0tuDiY8C3ctxq1tqvaCgkFb8cCA/edit?usp=sharing"",""นครราชสีมา!J289"")"),1)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IFERROR(__xludf.DUMMYFUNCTION("IMPORTRANGE(""https://docs.google.com/spreadsheets/d/1XL5vhW3sbDhbH9Cz0tuDiY8C3ctxq1tqvaCgkFb8cCA/edit?usp=sharing"",""นครราชสีมา!I291"")"),100)</f>
        <v>100</v>
      </c>
      <c r="J396" s="198">
        <f ca="1">IFERROR(__xludf.DUMMYFUNCTION("IMPORTRANGE(""https://docs.google.com/spreadsheets/d/1XL5vhW3sbDhbH9Cz0tuDiY8C3ctxq1tqvaCgkFb8cCA/edit?usp=sharing"",""นครราชสีมา!J291"")"),100)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IFERROR(__xludf.DUMMYFUNCTION("IMPORTRANGE(""https://docs.google.com/spreadsheets/d/1XL5vhW3sbDhbH9Cz0tuDiY8C3ctxq1tqvaCgkFb8cCA/edit?usp=sharing"",""นครราชสีมา!I292"")"),1000)</f>
        <v>1000</v>
      </c>
      <c r="J397" s="198">
        <f ca="1">IFERROR(__xludf.DUMMYFUNCTION("IMPORTRANGE(""https://docs.google.com/spreadsheets/d/1XL5vhW3sbDhbH9Cz0tuDiY8C3ctxq1tqvaCgkFb8cCA/edit?usp=sharing"",""นครราชสีมา!J292"")"),0)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IFERROR(__xludf.DUMMYFUNCTION("IMPORTRANGE(""https://docs.google.com/spreadsheets/d/1XL5vhW3sbDhbH9Cz0tuDiY8C3ctxq1tqvaCgkFb8cCA/edit?usp=sharing"",""นครราชสีมา!I293"")"),100)</f>
        <v>100</v>
      </c>
      <c r="J398" s="198">
        <f ca="1">IFERROR(__xludf.DUMMYFUNCTION("IMPORTRANGE(""https://docs.google.com/spreadsheets/d/1XL5vhW3sbDhbH9Cz0tuDiY8C3ctxq1tqvaCgkFb8cCA/edit?usp=sharing"",""นครราชสีมา!J293"")"),0)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IFERROR(__xludf.DUMMYFUNCTION("IMPORTRANGE(""https://docs.google.com/spreadsheets/d/1XL5vhW3sbDhbH9Cz0tuDiY8C3ctxq1tqvaCgkFb8cCA/edit?usp=sharing"",""นครราชสีมา!J294"")"),0)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IFERROR(__xludf.DUMMYFUNCTION("IMPORTRANGE(""https://docs.google.com/spreadsheets/d/1XL5vhW3sbDhbH9Cz0tuDiY8C3ctxq1tqvaCgkFb8cCA/edit?usp=sharing"",""นครราชสีมา!J295"")"),0)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IFERROR(__xludf.DUMMYFUNCTION("IMPORTRANGE(""https://docs.google.com/spreadsheets/d/1XL5vhW3sbDhbH9Cz0tuDiY8C3ctxq1tqvaCgkFb8cCA/edit?usp=sharing"",""นครราชสีมา!I296"")"),282)</f>
        <v>282</v>
      </c>
      <c r="J401" s="371">
        <f ca="1">IFERROR(__xludf.DUMMYFUNCTION("IMPORTRANGE(""https://docs.google.com/spreadsheets/d/1XL5vhW3sbDhbH9Cz0tuDiY8C3ctxq1tqvaCgkFb8cCA/edit?usp=sharing"",""นครราชสีมา!J296"")"),282)</f>
        <v>282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IFERROR(__xludf.DUMMYFUNCTION("IMPORTRANGE(""https://docs.google.com/spreadsheets/d/1XL5vhW3sbDhbH9Cz0tuDiY8C3ctxq1tqvaCgkFb8cCA/edit?usp=sharing"",""นครราชสีมา!L296"")"),310620)</f>
        <v>310620</v>
      </c>
      <c r="M401" s="373"/>
      <c r="N401" s="373">
        <f ca="1">IFERROR(__xludf.DUMMYFUNCTION("IMPORTRANGE(""https://docs.google.com/spreadsheets/d/1XL5vhW3sbDhbH9Cz0tuDiY8C3ctxq1tqvaCgkFb8cCA/edit?usp=sharing"",""นครราชสีมา!M296"")"),247335)</f>
        <v>247335</v>
      </c>
      <c r="O401" s="373">
        <f ca="1">+IF(L401&gt;0,N401*100/L401,0)</f>
        <v>79.62623140815144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IFERROR(__xludf.DUMMYFUNCTION("IMPORTRANGE(""https://docs.google.com/spreadsheets/d/1XL5vhW3sbDhbH9Cz0tuDiY8C3ctxq1tqvaCgkFb8cCA/edit?usp=sharing"",""นครราชสีมา!I297"")"),94)</f>
        <v>94</v>
      </c>
      <c r="J402" s="371">
        <f ca="1">IFERROR(__xludf.DUMMYFUNCTION("IMPORTRANGE(""https://docs.google.com/spreadsheets/d/1XL5vhW3sbDhbH9Cz0tuDiY8C3ctxq1tqvaCgkFb8cCA/edit?usp=sharing"",""นครราชสีมา!J297"")"),94)</f>
        <v>94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IFERROR(__xludf.DUMMYFUNCTION("IMPORTRANGE(""https://docs.google.com/spreadsheets/d/1XL5vhW3sbDhbH9Cz0tuDiY8C3ctxq1tqvaCgkFb8cCA/edit?usp=sharing"",""นครราชสีมา!L298"")"),0)</f>
        <v>0</v>
      </c>
      <c r="M403" s="164"/>
      <c r="N403" s="169">
        <f ca="1">IFERROR(__xludf.DUMMYFUNCTION("IMPORTRANGE(""https://docs.google.com/spreadsheets/d/1XL5vhW3sbDhbH9Cz0tuDiY8C3ctxq1tqvaCgkFb8cCA/edit?usp=sharing"",""นครราชสีมา!M298"")"),0)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IFERROR(__xludf.DUMMYFUNCTION("IMPORTRANGE(""https://docs.google.com/spreadsheets/d/1XL5vhW3sbDhbH9Cz0tuDiY8C3ctxq1tqvaCgkFb8cCA/edit?usp=sharing"",""นครราชสีมา!L299"")"),310620)</f>
        <v>310620</v>
      </c>
      <c r="M404" s="165"/>
      <c r="N404" s="169">
        <f ca="1">IFERROR(__xludf.DUMMYFUNCTION("IMPORTRANGE(""https://docs.google.com/spreadsheets/d/1XL5vhW3sbDhbH9Cz0tuDiY8C3ctxq1tqvaCgkFb8cCA/edit?usp=sharing"",""นครราชสีมา!M299"")"),247335)</f>
        <v>247335</v>
      </c>
      <c r="O404" s="169">
        <f t="shared" ca="1" si="112"/>
        <v>79.62623140815144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IFERROR(__xludf.DUMMYFUNCTION("IMPORTRANGE(""https://docs.google.com/spreadsheets/d/1XL5vhW3sbDhbH9Cz0tuDiY8C3ctxq1tqvaCgkFb8cCA/edit?usp=sharing"",""นครราชสีมา!L300"")"),0)</f>
        <v>0</v>
      </c>
      <c r="M405" s="169"/>
      <c r="N405" s="169">
        <f ca="1">IFERROR(__xludf.DUMMYFUNCTION("IMPORTRANGE(""https://docs.google.com/spreadsheets/d/1XL5vhW3sbDhbH9Cz0tuDiY8C3ctxq1tqvaCgkFb8cCA/edit?usp=sharing"",""นครราชสีมา!M300"")"),0)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IFERROR(__xludf.DUMMYFUNCTION("IMPORTRANGE(""https://docs.google.com/spreadsheets/d/1XL5vhW3sbDhbH9Cz0tuDiY8C3ctxq1tqvaCgkFb8cCA/edit?usp=sharing"",""นครราชสีมา!L301"")"),310620)</f>
        <v>310620</v>
      </c>
      <c r="M406" s="169"/>
      <c r="N406" s="169">
        <f ca="1">IFERROR(__xludf.DUMMYFUNCTION("IMPORTRANGE(""https://docs.google.com/spreadsheets/d/1XL5vhW3sbDhbH9Cz0tuDiY8C3ctxq1tqvaCgkFb8cCA/edit?usp=sharing"",""นครราชสีมา!M301"")"),247335)</f>
        <v>247335</v>
      </c>
      <c r="O406" s="169">
        <f t="shared" ca="1" si="112"/>
        <v>79.62623140815144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IFERROR(__xludf.DUMMYFUNCTION("IMPORTRANGE(""https://docs.google.com/spreadsheets/d/1XL5vhW3sbDhbH9Cz0tuDiY8C3ctxq1tqvaCgkFb8cCA/edit?usp=sharing"",""นครราชสีมา!M302"")"),148890)</f>
        <v>148890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IFERROR(__xludf.DUMMYFUNCTION("IMPORTRANGE(""https://docs.google.com/spreadsheets/d/1XL5vhW3sbDhbH9Cz0tuDiY8C3ctxq1tqvaCgkFb8cCA/edit?usp=sharing"",""นครราชสีมา!M303"")"),92805)</f>
        <v>92805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IFERROR(__xludf.DUMMYFUNCTION("IMPORTRANGE(""https://docs.google.com/spreadsheets/d/1XL5vhW3sbDhbH9Cz0tuDiY8C3ctxq1tqvaCgkFb8cCA/edit?usp=sharing"",""นครราชสีมา!M304"")"),0)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IFERROR(__xludf.DUMMYFUNCTION("IMPORTRANGE(""https://docs.google.com/spreadsheets/d/1XL5vhW3sbDhbH9Cz0tuDiY8C3ctxq1tqvaCgkFb8cCA/edit?usp=sharing"",""นครราชสีมา!M305"")"),5640)</f>
        <v>5640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IFERROR(__xludf.DUMMYFUNCTION("IMPORTRANGE(""https://docs.google.com/spreadsheets/d/1XL5vhW3sbDhbH9Cz0tuDiY8C3ctxq1tqvaCgkFb8cCA/edit?usp=sharing"",""นครราชสีมา!J307"")"),0)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IFERROR(__xludf.DUMMYFUNCTION("IMPORTRANGE(""https://docs.google.com/spreadsheets/d/1XL5vhW3sbDhbH9Cz0tuDiY8C3ctxq1tqvaCgkFb8cCA/edit?usp=sharing"",""นครราชสีมา!J308"")"),1)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IFERROR(__xludf.DUMMYFUNCTION("IMPORTRANGE(""https://docs.google.com/spreadsheets/d/1XL5vhW3sbDhbH9Cz0tuDiY8C3ctxq1tqvaCgkFb8cCA/edit?usp=sharing"",""นครราชสีมา!J309"")"),0)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IFERROR(__xludf.DUMMYFUNCTION("IMPORTRANGE(""https://docs.google.com/spreadsheets/d/1XL5vhW3sbDhbH9Cz0tuDiY8C3ctxq1tqvaCgkFb8cCA/edit?usp=sharing"",""นครราชสีมา!J310"")"),0)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IFERROR(__xludf.DUMMYFUNCTION("IMPORTRANGE(""https://docs.google.com/spreadsheets/d/1XL5vhW3sbDhbH9Cz0tuDiY8C3ctxq1tqvaCgkFb8cCA/edit?usp=sharing"",""นครราชสีมา!I311"")"),94)</f>
        <v>94</v>
      </c>
      <c r="J416" s="201">
        <f ca="1">IFERROR(__xludf.DUMMYFUNCTION("IMPORTRANGE(""https://docs.google.com/spreadsheets/d/1XL5vhW3sbDhbH9Cz0tuDiY8C3ctxq1tqvaCgkFb8cCA/edit?usp=sharing"",""นครราชสีมา!J311"")"),94)</f>
        <v>94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IFERROR(__xludf.DUMMYFUNCTION("IMPORTRANGE(""https://docs.google.com/spreadsheets/d/1XL5vhW3sbDhbH9Cz0tuDiY8C3ctxq1tqvaCgkFb8cCA/edit?usp=sharing"",""นครราชสีมา!I312"")"),34)</f>
        <v>34</v>
      </c>
      <c r="J417" s="392">
        <f ca="1">IFERROR(__xludf.DUMMYFUNCTION("IMPORTRANGE(""https://docs.google.com/spreadsheets/d/1XL5vhW3sbDhbH9Cz0tuDiY8C3ctxq1tqvaCgkFb8cCA/edit?usp=sharing"",""นครราชสีมา!J312"")"),34)</f>
        <v>34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IFERROR(__xludf.DUMMYFUNCTION("IMPORTRANGE(""https://docs.google.com/spreadsheets/d/1XL5vhW3sbDhbH9Cz0tuDiY8C3ctxq1tqvaCgkFb8cCA/edit?usp=sharing"",""นครราชสีมา!I313"")"),102)</f>
        <v>102</v>
      </c>
      <c r="J418" s="393">
        <f ca="1">IFERROR(__xludf.DUMMYFUNCTION("IMPORTRANGE(""https://docs.google.com/spreadsheets/d/1XL5vhW3sbDhbH9Cz0tuDiY8C3ctxq1tqvaCgkFb8cCA/edit?usp=sharing"",""นครราชสีมา!J313"")"),102)</f>
        <v>102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IFERROR(__xludf.DUMMYFUNCTION("IMPORTRANGE(""https://docs.google.com/spreadsheets/d/1XL5vhW3sbDhbH9Cz0tuDiY8C3ctxq1tqvaCgkFb8cCA/edit?usp=sharing"",""นครราชสีมา!I314"")"),34)</f>
        <v>34</v>
      </c>
      <c r="J419" s="394">
        <f ca="1">IFERROR(__xludf.DUMMYFUNCTION("IMPORTRANGE(""https://docs.google.com/spreadsheets/d/1XL5vhW3sbDhbH9Cz0tuDiY8C3ctxq1tqvaCgkFb8cCA/edit?usp=sharing"",""นครราชสีมา!J314"")"),34)</f>
        <v>34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IFERROR(__xludf.DUMMYFUNCTION("IMPORTRANGE(""https://docs.google.com/spreadsheets/d/1XL5vhW3sbDhbH9Cz0tuDiY8C3ctxq1tqvaCgkFb8cCA/edit?usp=sharing"",""นครราชสีมา!I315"")"),34)</f>
        <v>34</v>
      </c>
      <c r="J420" s="394">
        <f ca="1">IFERROR(__xludf.DUMMYFUNCTION("IMPORTRANGE(""https://docs.google.com/spreadsheets/d/1XL5vhW3sbDhbH9Cz0tuDiY8C3ctxq1tqvaCgkFb8cCA/edit?usp=sharing"",""นครราชสีมา!J315"")"),34)</f>
        <v>34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IFERROR(__xludf.DUMMYFUNCTION("IMPORTRANGE(""https://docs.google.com/spreadsheets/d/1XL5vhW3sbDhbH9Cz0tuDiY8C3ctxq1tqvaCgkFb8cCA/edit?usp=sharing"",""นครราชสีมา!I316"")"),50)</f>
        <v>50</v>
      </c>
      <c r="J421" s="392">
        <f ca="1">IFERROR(__xludf.DUMMYFUNCTION("IMPORTRANGE(""https://docs.google.com/spreadsheets/d/1XL5vhW3sbDhbH9Cz0tuDiY8C3ctxq1tqvaCgkFb8cCA/edit?usp=sharing"",""นครราชสีมา!J316"")"),50)</f>
        <v>50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IFERROR(__xludf.DUMMYFUNCTION("IMPORTRANGE(""https://docs.google.com/spreadsheets/d/1XL5vhW3sbDhbH9Cz0tuDiY8C3ctxq1tqvaCgkFb8cCA/edit?usp=sharing"",""นครราชสีมา!I317"")"),150)</f>
        <v>150</v>
      </c>
      <c r="J422" s="393">
        <f ca="1">IFERROR(__xludf.DUMMYFUNCTION("IMPORTRANGE(""https://docs.google.com/spreadsheets/d/1XL5vhW3sbDhbH9Cz0tuDiY8C3ctxq1tqvaCgkFb8cCA/edit?usp=sharing"",""นครราชสีมา!J317"")"),150)</f>
        <v>150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IFERROR(__xludf.DUMMYFUNCTION("IMPORTRANGE(""https://docs.google.com/spreadsheets/d/1XL5vhW3sbDhbH9Cz0tuDiY8C3ctxq1tqvaCgkFb8cCA/edit?usp=sharing"",""นครราชสีมา!I318"")"),50)</f>
        <v>50</v>
      </c>
      <c r="J423" s="394">
        <f ca="1">IFERROR(__xludf.DUMMYFUNCTION("IMPORTRANGE(""https://docs.google.com/spreadsheets/d/1XL5vhW3sbDhbH9Cz0tuDiY8C3ctxq1tqvaCgkFb8cCA/edit?usp=sharing"",""นครราชสีมา!J318"")"),50)</f>
        <v>50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IFERROR(__xludf.DUMMYFUNCTION("IMPORTRANGE(""https://docs.google.com/spreadsheets/d/1XL5vhW3sbDhbH9Cz0tuDiY8C3ctxq1tqvaCgkFb8cCA/edit?usp=sharing"",""นครราชสีมา!I319"")"),50)</f>
        <v>50</v>
      </c>
      <c r="J424" s="394">
        <f ca="1">IFERROR(__xludf.DUMMYFUNCTION("IMPORTRANGE(""https://docs.google.com/spreadsheets/d/1XL5vhW3sbDhbH9Cz0tuDiY8C3ctxq1tqvaCgkFb8cCA/edit?usp=sharing"",""นครราชสีมา!J319"")"),50)</f>
        <v>50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IFERROR(__xludf.DUMMYFUNCTION("IMPORTRANGE(""https://docs.google.com/spreadsheets/d/1XL5vhW3sbDhbH9Cz0tuDiY8C3ctxq1tqvaCgkFb8cCA/edit?usp=sharing"",""นครราชสีมา!I320"")"),50)</f>
        <v>50</v>
      </c>
      <c r="J425" s="394">
        <f ca="1">IFERROR(__xludf.DUMMYFUNCTION("IMPORTRANGE(""https://docs.google.com/spreadsheets/d/1XL5vhW3sbDhbH9Cz0tuDiY8C3ctxq1tqvaCgkFb8cCA/edit?usp=sharing"",""นครราชสีมา!J320"")"),50)</f>
        <v>50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IFERROR(__xludf.DUMMYFUNCTION("IMPORTRANGE(""https://docs.google.com/spreadsheets/d/1XL5vhW3sbDhbH9Cz0tuDiY8C3ctxq1tqvaCgkFb8cCA/edit?usp=sharing"",""นครราชสีมา!I321"")"),10)</f>
        <v>10</v>
      </c>
      <c r="J426" s="392">
        <f ca="1">IFERROR(__xludf.DUMMYFUNCTION("IMPORTRANGE(""https://docs.google.com/spreadsheets/d/1XL5vhW3sbDhbH9Cz0tuDiY8C3ctxq1tqvaCgkFb8cCA/edit?usp=sharing"",""นครราชสีมา!J321"")"),10)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IFERROR(__xludf.DUMMYFUNCTION("IMPORTRANGE(""https://docs.google.com/spreadsheets/d/1XL5vhW3sbDhbH9Cz0tuDiY8C3ctxq1tqvaCgkFb8cCA/edit?usp=sharing"",""นครราชสีมา!I322"")"),30)</f>
        <v>30</v>
      </c>
      <c r="J427" s="393">
        <f ca="1">IFERROR(__xludf.DUMMYFUNCTION("IMPORTRANGE(""https://docs.google.com/spreadsheets/d/1XL5vhW3sbDhbH9Cz0tuDiY8C3ctxq1tqvaCgkFb8cCA/edit?usp=sharing"",""นครราชสีมา!J322"")"),30)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IFERROR(__xludf.DUMMYFUNCTION("IMPORTRANGE(""https://docs.google.com/spreadsheets/d/1XL5vhW3sbDhbH9Cz0tuDiY8C3ctxq1tqvaCgkFb8cCA/edit?usp=sharing"",""นครราชสีมา!I323"")"),10)</f>
        <v>10</v>
      </c>
      <c r="J428" s="394">
        <f ca="1">IFERROR(__xludf.DUMMYFUNCTION("IMPORTRANGE(""https://docs.google.com/spreadsheets/d/1XL5vhW3sbDhbH9Cz0tuDiY8C3ctxq1tqvaCgkFb8cCA/edit?usp=sharing"",""นครราชสีมา!J323"")"),10)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IFERROR(__xludf.DUMMYFUNCTION("IMPORTRANGE(""https://docs.google.com/spreadsheets/d/1XL5vhW3sbDhbH9Cz0tuDiY8C3ctxq1tqvaCgkFb8cCA/edit?usp=sharing"",""นครราชสีมา!I324"")"),10)</f>
        <v>10</v>
      </c>
      <c r="J429" s="394">
        <f ca="1">IFERROR(__xludf.DUMMYFUNCTION("IMPORTRANGE(""https://docs.google.com/spreadsheets/d/1XL5vhW3sbDhbH9Cz0tuDiY8C3ctxq1tqvaCgkFb8cCA/edit?usp=sharing"",""นครราชสีมา!J324"")"),10)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IFERROR(__xludf.DUMMYFUNCTION("IMPORTRANGE(""https://docs.google.com/spreadsheets/d/1XL5vhW3sbDhbH9Cz0tuDiY8C3ctxq1tqvaCgkFb8cCA/edit?usp=sharing"",""นครราชสีมา!I325"")"),84)</f>
        <v>84</v>
      </c>
      <c r="J430" s="392">
        <f ca="1">IFERROR(__xludf.DUMMYFUNCTION("IMPORTRANGE(""https://docs.google.com/spreadsheets/d/1XL5vhW3sbDhbH9Cz0tuDiY8C3ctxq1tqvaCgkFb8cCA/edit?usp=sharing"",""นครราชสีมา!J325"")"),84)</f>
        <v>84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IFERROR(__xludf.DUMMYFUNCTION("IMPORTRANGE(""https://docs.google.com/spreadsheets/d/1XL5vhW3sbDhbH9Cz0tuDiY8C3ctxq1tqvaCgkFb8cCA/edit?usp=sharing"",""นครราชสีมา!I326"")"),34)</f>
        <v>34</v>
      </c>
      <c r="J431" s="394">
        <f ca="1">IFERROR(__xludf.DUMMYFUNCTION("IMPORTRANGE(""https://docs.google.com/spreadsheets/d/1XL5vhW3sbDhbH9Cz0tuDiY8C3ctxq1tqvaCgkFb8cCA/edit?usp=sharing"",""นครราชสีมา!J326"")"),34)</f>
        <v>34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IFERROR(__xludf.DUMMYFUNCTION("IMPORTRANGE(""https://docs.google.com/spreadsheets/d/1XL5vhW3sbDhbH9Cz0tuDiY8C3ctxq1tqvaCgkFb8cCA/edit?usp=sharing"",""นครราชสีมา!I327"")"),50)</f>
        <v>50</v>
      </c>
      <c r="J432" s="394">
        <f ca="1">IFERROR(__xludf.DUMMYFUNCTION("IMPORTRANGE(""https://docs.google.com/spreadsheets/d/1XL5vhW3sbDhbH9Cz0tuDiY8C3ctxq1tqvaCgkFb8cCA/edit?usp=sharing"",""นครราชสีมา!J327"")"),50)</f>
        <v>50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IFERROR(__xludf.DUMMYFUNCTION("IMPORTRANGE(""https://docs.google.com/spreadsheets/d/1XL5vhW3sbDhbH9Cz0tuDiY8C3ctxq1tqvaCgkFb8cCA/edit?usp=sharing"",""นครราชสีมา!J328"")"),0)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IFERROR(__xludf.DUMMYFUNCTION("IMPORTRANGE(""https://docs.google.com/spreadsheets/d/1XL5vhW3sbDhbH9Cz0tuDiY8C3ctxq1tqvaCgkFb8cCA/edit?usp=sharing"",""นครราชสีมา!J329"")"),0)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IFERROR(__xludf.DUMMYFUNCTION("IMPORTRANGE(""https://docs.google.com/spreadsheets/d/1XL5vhW3sbDhbH9Cz0tuDiY8C3ctxq1tqvaCgkFb8cCA/edit?usp=sharing"",""นครราชสีมา!I330"")"),40)</f>
        <v>40</v>
      </c>
      <c r="J435" s="410">
        <f ca="1">IFERROR(__xludf.DUMMYFUNCTION("IMPORTRANGE(""https://docs.google.com/spreadsheets/d/1XL5vhW3sbDhbH9Cz0tuDiY8C3ctxq1tqvaCgkFb8cCA/edit?usp=sharing"",""นครราชสีมา!J330"")"),40)</f>
        <v>40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IFERROR(__xludf.DUMMYFUNCTION("IMPORTRANGE(""https://docs.google.com/spreadsheets/d/1XL5vhW3sbDhbH9Cz0tuDiY8C3ctxq1tqvaCgkFb8cCA/edit?usp=sharing"",""นครราชสีมา!L330"")"),162000)</f>
        <v>162000</v>
      </c>
      <c r="M435" s="412"/>
      <c r="N435" s="412">
        <f ca="1">IFERROR(__xludf.DUMMYFUNCTION("IMPORTRANGE(""https://docs.google.com/spreadsheets/d/1XL5vhW3sbDhbH9Cz0tuDiY8C3ctxq1tqvaCgkFb8cCA/edit?usp=sharing"",""นครราชสีมา!M330"")"),130900)</f>
        <v>130900</v>
      </c>
      <c r="O435" s="412">
        <f t="shared" ref="O435:O439" ca="1" si="114">+IF(L435&gt;0,N435*100/L435,0)</f>
        <v>80.802469135802468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IFERROR(__xludf.DUMMYFUNCTION("IMPORTRANGE(""https://docs.google.com/spreadsheets/d/1XL5vhW3sbDhbH9Cz0tuDiY8C3ctxq1tqvaCgkFb8cCA/edit?usp=sharing"",""นครราชสีมา!L331"")"),0)</f>
        <v>0</v>
      </c>
      <c r="M436" s="164"/>
      <c r="N436" s="169">
        <f ca="1">IFERROR(__xludf.DUMMYFUNCTION("IMPORTRANGE(""https://docs.google.com/spreadsheets/d/1XL5vhW3sbDhbH9Cz0tuDiY8C3ctxq1tqvaCgkFb8cCA/edit?usp=sharing"",""นครราชสีมา!M331"")"),0)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IFERROR(__xludf.DUMMYFUNCTION("IMPORTRANGE(""https://docs.google.com/spreadsheets/d/1XL5vhW3sbDhbH9Cz0tuDiY8C3ctxq1tqvaCgkFb8cCA/edit?usp=sharing"",""นครราชสีมา!L332"")"),162000)</f>
        <v>162000</v>
      </c>
      <c r="M437" s="165"/>
      <c r="N437" s="169">
        <f ca="1">IFERROR(__xludf.DUMMYFUNCTION("IMPORTRANGE(""https://docs.google.com/spreadsheets/d/1XL5vhW3sbDhbH9Cz0tuDiY8C3ctxq1tqvaCgkFb8cCA/edit?usp=sharing"",""นครราชสีมา!M332"")"),130900)</f>
        <v>130900</v>
      </c>
      <c r="O437" s="169">
        <f t="shared" ca="1" si="114"/>
        <v>80.802469135802468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IFERROR(__xludf.DUMMYFUNCTION("IMPORTRANGE(""https://docs.google.com/spreadsheets/d/1XL5vhW3sbDhbH9Cz0tuDiY8C3ctxq1tqvaCgkFb8cCA/edit?usp=sharing"",""นครราชสีมา!L333"")"),0)</f>
        <v>0</v>
      </c>
      <c r="M438" s="169"/>
      <c r="N438" s="169">
        <f ca="1">IFERROR(__xludf.DUMMYFUNCTION("IMPORTRANGE(""https://docs.google.com/spreadsheets/d/1XL5vhW3sbDhbH9Cz0tuDiY8C3ctxq1tqvaCgkFb8cCA/edit?usp=sharing"",""นครราชสีมา!M333"")"),0)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IFERROR(__xludf.DUMMYFUNCTION("IMPORTRANGE(""https://docs.google.com/spreadsheets/d/1XL5vhW3sbDhbH9Cz0tuDiY8C3ctxq1tqvaCgkFb8cCA/edit?usp=sharing"",""นครราชสีมา!L334"")"),162000)</f>
        <v>162000</v>
      </c>
      <c r="M439" s="169"/>
      <c r="N439" s="169">
        <f ca="1">IFERROR(__xludf.DUMMYFUNCTION("IMPORTRANGE(""https://docs.google.com/spreadsheets/d/1XL5vhW3sbDhbH9Cz0tuDiY8C3ctxq1tqvaCgkFb8cCA/edit?usp=sharing"",""นครราชสีมา!M334"")"),130900)</f>
        <v>130900</v>
      </c>
      <c r="O439" s="169">
        <f t="shared" ca="1" si="114"/>
        <v>80.802469135802468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IFERROR(__xludf.DUMMYFUNCTION("IMPORTRANGE(""https://docs.google.com/spreadsheets/d/1XL5vhW3sbDhbH9Cz0tuDiY8C3ctxq1tqvaCgkFb8cCA/edit?usp=sharing"",""นครราชสีมา!M335"")"),0)</f>
        <v>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IFERROR(__xludf.DUMMYFUNCTION("IMPORTRANGE(""https://docs.google.com/spreadsheets/d/1XL5vhW3sbDhbH9Cz0tuDiY8C3ctxq1tqvaCgkFb8cCA/edit?usp=sharing"",""นครราชสีมา!M336"")"),0)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IFERROR(__xludf.DUMMYFUNCTION("IMPORTRANGE(""https://docs.google.com/spreadsheets/d/1XL5vhW3sbDhbH9Cz0tuDiY8C3ctxq1tqvaCgkFb8cCA/edit?usp=sharing"",""นครราชสีมา!M337"")"),0)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IFERROR(__xludf.DUMMYFUNCTION("IMPORTRANGE(""https://docs.google.com/spreadsheets/d/1XL5vhW3sbDhbH9Cz0tuDiY8C3ctxq1tqvaCgkFb8cCA/edit?usp=sharing"",""นครราชสีมา!M338"")"),130900)</f>
        <v>130900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IFERROR(__xludf.DUMMYFUNCTION("IMPORTRANGE(""https://docs.google.com/spreadsheets/d/1XL5vhW3sbDhbH9Cz0tuDiY8C3ctxq1tqvaCgkFb8cCA/edit?usp=sharing"",""นครราชสีมา!J340"")"),0)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IFERROR(__xludf.DUMMYFUNCTION("IMPORTRANGE(""https://docs.google.com/spreadsheets/d/1XL5vhW3sbDhbH9Cz0tuDiY8C3ctxq1tqvaCgkFb8cCA/edit?usp=sharing"",""นครราชสีมา!J341"")"),1)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IFERROR(__xludf.DUMMYFUNCTION("IMPORTRANGE(""https://docs.google.com/spreadsheets/d/1XL5vhW3sbDhbH9Cz0tuDiY8C3ctxq1tqvaCgkFb8cCA/edit?usp=sharing"",""นครราชสีมา!J342"")"),0)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IFERROR(__xludf.DUMMYFUNCTION("IMPORTRANGE(""https://docs.google.com/spreadsheets/d/1XL5vhW3sbDhbH9Cz0tuDiY8C3ctxq1tqvaCgkFb8cCA/edit?usp=sharing"",""นครราชสีมา!J343"")"),0)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IFERROR(__xludf.DUMMYFUNCTION("IMPORTRANGE(""https://docs.google.com/spreadsheets/d/1XL5vhW3sbDhbH9Cz0tuDiY8C3ctxq1tqvaCgkFb8cCA/edit?usp=sharing"",""นครราชสีมา!I344"")"),40)</f>
        <v>40</v>
      </c>
      <c r="J449" s="201">
        <f ca="1">IFERROR(__xludf.DUMMYFUNCTION("IMPORTRANGE(""https://docs.google.com/spreadsheets/d/1XL5vhW3sbDhbH9Cz0tuDiY8C3ctxq1tqvaCgkFb8cCA/edit?usp=sharing"",""นครราชสีมา!J344"")"),40)</f>
        <v>40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IFERROR(__xludf.DUMMYFUNCTION("IMPORTRANGE(""https://docs.google.com/spreadsheets/d/1XL5vhW3sbDhbH9Cz0tuDiY8C3ctxq1tqvaCgkFb8cCA/edit?usp=sharing"",""นครราชสีมา!I345"")"),40)</f>
        <v>40</v>
      </c>
      <c r="J450" s="189">
        <f ca="1">IFERROR(__xludf.DUMMYFUNCTION("IMPORTRANGE(""https://docs.google.com/spreadsheets/d/1XL5vhW3sbDhbH9Cz0tuDiY8C3ctxq1tqvaCgkFb8cCA/edit?usp=sharing"",""นครราชสีมา!J345"")"),40)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IFERROR(__xludf.DUMMYFUNCTION("IMPORTRANGE(""https://docs.google.com/spreadsheets/d/1XL5vhW3sbDhbH9Cz0tuDiY8C3ctxq1tqvaCgkFb8cCA/edit?usp=sharing"",""นครราชสีมา!I346"")"),0)</f>
        <v>0</v>
      </c>
      <c r="J451" s="188">
        <f ca="1">IFERROR(__xludf.DUMMYFUNCTION("IMPORTRANGE(""https://docs.google.com/spreadsheets/d/1XL5vhW3sbDhbH9Cz0tuDiY8C3ctxq1tqvaCgkFb8cCA/edit?usp=sharing"",""นครราชสีมา!J346"")"),0)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IFERROR(__xludf.DUMMYFUNCTION("IMPORTRANGE(""https://docs.google.com/spreadsheets/d/1XL5vhW3sbDhbH9Cz0tuDiY8C3ctxq1tqvaCgkFb8cCA/edit?usp=sharing"",""นครราชสีมา!I347"")"),0)</f>
        <v>0</v>
      </c>
      <c r="J452" s="188">
        <f ca="1">IFERROR(__xludf.DUMMYFUNCTION("IMPORTRANGE(""https://docs.google.com/spreadsheets/d/1XL5vhW3sbDhbH9Cz0tuDiY8C3ctxq1tqvaCgkFb8cCA/edit?usp=sharing"",""นครราชสีมา!J347"")"),0)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IFERROR(__xludf.DUMMYFUNCTION("IMPORTRANGE(""https://docs.google.com/spreadsheets/d/1XL5vhW3sbDhbH9Cz0tuDiY8C3ctxq1tqvaCgkFb8cCA/edit?usp=sharing"",""นครราชสีมา!J348"")"),0)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IFERROR(__xludf.DUMMYFUNCTION("IMPORTRANGE(""https://docs.google.com/spreadsheets/d/1XL5vhW3sbDhbH9Cz0tuDiY8C3ctxq1tqvaCgkFb8cCA/edit?usp=sharing"",""นครราชสีมา!J349"")"),0)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IFERROR(__xludf.DUMMYFUNCTION("IMPORTRANGE(""https://docs.google.com/spreadsheets/d/1XL5vhW3sbDhbH9Cz0tuDiY8C3ctxq1tqvaCgkFb8cCA/edit?usp=sharing"",""นครราชสีมา!I350"")"),59004)</f>
        <v>59004</v>
      </c>
      <c r="J455" s="371">
        <f ca="1">IFERROR(__xludf.DUMMYFUNCTION("IMPORTRANGE(""https://docs.google.com/spreadsheets/d/1XL5vhW3sbDhbH9Cz0tuDiY8C3ctxq1tqvaCgkFb8cCA/edit?usp=sharing"",""นครราชสีมา!J350"")"),0)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IFERROR(__xludf.DUMMYFUNCTION("IMPORTRANGE(""https://docs.google.com/spreadsheets/d/1XL5vhW3sbDhbH9Cz0tuDiY8C3ctxq1tqvaCgkFb8cCA/edit?usp=sharing"",""นครราชสีมา!L350"")"),607341)</f>
        <v>607341</v>
      </c>
      <c r="M455" s="373"/>
      <c r="N455" s="373">
        <f ca="1">IFERROR(__xludf.DUMMYFUNCTION("IMPORTRANGE(""https://docs.google.com/spreadsheets/d/1XL5vhW3sbDhbH9Cz0tuDiY8C3ctxq1tqvaCgkFb8cCA/edit?usp=sharing"",""นครราชสีมา!M350"")"),197234.75)</f>
        <v>197234.75</v>
      </c>
      <c r="O455" s="373">
        <f t="shared" ref="O455:O459" ca="1" si="116">+IF(L455&gt;0,N455*100/L455,0)</f>
        <v>32.475125176795245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IFERROR(__xludf.DUMMYFUNCTION("IMPORTRANGE(""https://docs.google.com/spreadsheets/d/1XL5vhW3sbDhbH9Cz0tuDiY8C3ctxq1tqvaCgkFb8cCA/edit?usp=sharing"",""นครราชสีมา!L351"")"),0)</f>
        <v>0</v>
      </c>
      <c r="M456" s="164"/>
      <c r="N456" s="169">
        <f ca="1">IFERROR(__xludf.DUMMYFUNCTION("IMPORTRANGE(""https://docs.google.com/spreadsheets/d/1XL5vhW3sbDhbH9Cz0tuDiY8C3ctxq1tqvaCgkFb8cCA/edit?usp=sharing"",""นครราชสีมา!M351"")"),0)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IFERROR(__xludf.DUMMYFUNCTION("IMPORTRANGE(""https://docs.google.com/spreadsheets/d/1XL5vhW3sbDhbH9Cz0tuDiY8C3ctxq1tqvaCgkFb8cCA/edit?usp=sharing"",""นครราชสีมา!L352"")"),607341)</f>
        <v>607341</v>
      </c>
      <c r="M457" s="165"/>
      <c r="N457" s="169">
        <f ca="1">IFERROR(__xludf.DUMMYFUNCTION("IMPORTRANGE(""https://docs.google.com/spreadsheets/d/1XL5vhW3sbDhbH9Cz0tuDiY8C3ctxq1tqvaCgkFb8cCA/edit?usp=sharing"",""นครราชสีมา!M352"")"),197234.75)</f>
        <v>197234.75</v>
      </c>
      <c r="O457" s="169">
        <f t="shared" ca="1" si="116"/>
        <v>32.475125176795245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IFERROR(__xludf.DUMMYFUNCTION("IMPORTRANGE(""https://docs.google.com/spreadsheets/d/1XL5vhW3sbDhbH9Cz0tuDiY8C3ctxq1tqvaCgkFb8cCA/edit?usp=sharing"",""นครราชสีมา!L353"")"),0)</f>
        <v>0</v>
      </c>
      <c r="M458" s="169"/>
      <c r="N458" s="169">
        <f ca="1">IFERROR(__xludf.DUMMYFUNCTION("IMPORTRANGE(""https://docs.google.com/spreadsheets/d/1XL5vhW3sbDhbH9Cz0tuDiY8C3ctxq1tqvaCgkFb8cCA/edit?usp=sharing"",""นครราชสีมา!M353"")"),0)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IFERROR(__xludf.DUMMYFUNCTION("IMPORTRANGE(""https://docs.google.com/spreadsheets/d/1XL5vhW3sbDhbH9Cz0tuDiY8C3ctxq1tqvaCgkFb8cCA/edit?usp=sharing"",""นครราชสีมา!L354"")"),607341)</f>
        <v>607341</v>
      </c>
      <c r="M459" s="169"/>
      <c r="N459" s="169">
        <f ca="1">IFERROR(__xludf.DUMMYFUNCTION("IMPORTRANGE(""https://docs.google.com/spreadsheets/d/1XL5vhW3sbDhbH9Cz0tuDiY8C3ctxq1tqvaCgkFb8cCA/edit?usp=sharing"",""นครราชสีมา!M354"")"),197234.75)</f>
        <v>197234.75</v>
      </c>
      <c r="O459" s="169">
        <f t="shared" ca="1" si="116"/>
        <v>32.475125176795245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IFERROR(__xludf.DUMMYFUNCTION("IMPORTRANGE(""https://docs.google.com/spreadsheets/d/1XL5vhW3sbDhbH9Cz0tuDiY8C3ctxq1tqvaCgkFb8cCA/edit?usp=sharing"",""นครราชสีมา!M355"")"),0)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IFERROR(__xludf.DUMMYFUNCTION("IMPORTRANGE(""https://docs.google.com/spreadsheets/d/1XL5vhW3sbDhbH9Cz0tuDiY8C3ctxq1tqvaCgkFb8cCA/edit?usp=sharing"",""นครราชสีมา!M356"")"),0)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IFERROR(__xludf.DUMMYFUNCTION("IMPORTRANGE(""https://docs.google.com/spreadsheets/d/1XL5vhW3sbDhbH9Cz0tuDiY8C3ctxq1tqvaCgkFb8cCA/edit?usp=sharing"",""นครราชสีมา!M357"")"),53166.75)</f>
        <v>53166.75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IFERROR(__xludf.DUMMYFUNCTION("IMPORTRANGE(""https://docs.google.com/spreadsheets/d/1XL5vhW3sbDhbH9Cz0tuDiY8C3ctxq1tqvaCgkFb8cCA/edit?usp=sharing"",""นครราชสีมา!M358"")"),144068)</f>
        <v>144068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IFERROR(__xludf.DUMMYFUNCTION("IMPORTRANGE(""https://docs.google.com/spreadsheets/d/1XL5vhW3sbDhbH9Cz0tuDiY8C3ctxq1tqvaCgkFb8cCA/edit?usp=sharing"",""นครราชสีมา!I359"")"),59004)</f>
        <v>59004</v>
      </c>
      <c r="J464" s="267">
        <f ca="1">IFERROR(__xludf.DUMMYFUNCTION("IMPORTRANGE(""https://docs.google.com/spreadsheets/d/1XL5vhW3sbDhbH9Cz0tuDiY8C3ctxq1tqvaCgkFb8cCA/edit?usp=sharing"",""นครราชสีมา!J359"")"),0)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IFERROR(__xludf.DUMMYFUNCTION("IMPORTRANGE(""https://docs.google.com/spreadsheets/d/1XL5vhW3sbDhbH9Cz0tuDiY8C3ctxq1tqvaCgkFb8cCA/edit?usp=sharing"",""นครราชสีมา!I360"")"),59004)</f>
        <v>59004</v>
      </c>
      <c r="J465" s="420">
        <f ca="1">IFERROR(__xludf.DUMMYFUNCTION("IMPORTRANGE(""https://docs.google.com/spreadsheets/d/1XL5vhW3sbDhbH9Cz0tuDiY8C3ctxq1tqvaCgkFb8cCA/edit?usp=sharing"",""นครราชสีมา!J360"")"),59004)</f>
        <v>59004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IFERROR(__xludf.DUMMYFUNCTION("IMPORTRANGE(""https://docs.google.com/spreadsheets/d/1XL5vhW3sbDhbH9Cz0tuDiY8C3ctxq1tqvaCgkFb8cCA/edit?usp=sharing"",""นครราชสีมา!I361"")"),6719)</f>
        <v>6719</v>
      </c>
      <c r="J466" s="420">
        <f ca="1">IFERROR(__xludf.DUMMYFUNCTION("IMPORTRANGE(""https://docs.google.com/spreadsheets/d/1XL5vhW3sbDhbH9Cz0tuDiY8C3ctxq1tqvaCgkFb8cCA/edit?usp=sharing"",""นครราชสีมา!J361"")"),6719)</f>
        <v>6719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IFERROR(__xludf.DUMMYFUNCTION("IMPORTRANGE(""https://docs.google.com/spreadsheets/d/1XL5vhW3sbDhbH9Cz0tuDiY8C3ctxq1tqvaCgkFb8cCA/edit?usp=sharing"",""นครราชสีมา!I362"")"),0)</f>
        <v>0</v>
      </c>
      <c r="J467" s="189">
        <f ca="1">IFERROR(__xludf.DUMMYFUNCTION("IMPORTRANGE(""https://docs.google.com/spreadsheets/d/1XL5vhW3sbDhbH9Cz0tuDiY8C3ctxq1tqvaCgkFb8cCA/edit?usp=sharing"",""นครราชสีมา!J362"")"),36732)</f>
        <v>36732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IFERROR(__xludf.DUMMYFUNCTION("IMPORTRANGE(""https://docs.google.com/spreadsheets/d/1XL5vhW3sbDhbH9Cz0tuDiY8C3ctxq1tqvaCgkFb8cCA/edit?usp=sharing"",""นครราชสีมา!I363"")"),0)</f>
        <v>0</v>
      </c>
      <c r="J468" s="189">
        <f ca="1">IFERROR(__xludf.DUMMYFUNCTION("IMPORTRANGE(""https://docs.google.com/spreadsheets/d/1XL5vhW3sbDhbH9Cz0tuDiY8C3ctxq1tqvaCgkFb8cCA/edit?usp=sharing"",""นครราชสีมา!J363"")"),4944)</f>
        <v>4944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IFERROR(__xludf.DUMMYFUNCTION("IMPORTRANGE(""https://docs.google.com/spreadsheets/d/1XL5vhW3sbDhbH9Cz0tuDiY8C3ctxq1tqvaCgkFb8cCA/edit?usp=sharing"",""นครราชสีมา!I364"")"),0)</f>
        <v>0</v>
      </c>
      <c r="J469" s="189">
        <f ca="1">IFERROR(__xludf.DUMMYFUNCTION("IMPORTRANGE(""https://docs.google.com/spreadsheets/d/1XL5vhW3sbDhbH9Cz0tuDiY8C3ctxq1tqvaCgkFb8cCA/edit?usp=sharing"",""นครราชสีมา!J364"")"),20496)</f>
        <v>20496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IFERROR(__xludf.DUMMYFUNCTION("IMPORTRANGE(""https://docs.google.com/spreadsheets/d/1XL5vhW3sbDhbH9Cz0tuDiY8C3ctxq1tqvaCgkFb8cCA/edit?usp=sharing"",""นครราชสีมา!I365"")"),0)</f>
        <v>0</v>
      </c>
      <c r="J470" s="189">
        <f ca="1">IFERROR(__xludf.DUMMYFUNCTION("IMPORTRANGE(""https://docs.google.com/spreadsheets/d/1XL5vhW3sbDhbH9Cz0tuDiY8C3ctxq1tqvaCgkFb8cCA/edit?usp=sharing"",""นครราชสีมา!J365"")"),1626)</f>
        <v>1626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IFERROR(__xludf.DUMMYFUNCTION("IMPORTRANGE(""https://docs.google.com/spreadsheets/d/1XL5vhW3sbDhbH9Cz0tuDiY8C3ctxq1tqvaCgkFb8cCA/edit?usp=sharing"",""นครราชสีมา!I366"")"),0)</f>
        <v>0</v>
      </c>
      <c r="J471" s="189">
        <f ca="1">IFERROR(__xludf.DUMMYFUNCTION("IMPORTRANGE(""https://docs.google.com/spreadsheets/d/1XL5vhW3sbDhbH9Cz0tuDiY8C3ctxq1tqvaCgkFb8cCA/edit?usp=sharing"",""นครราชสีมา!J366"")"),1776)</f>
        <v>1776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IFERROR(__xludf.DUMMYFUNCTION("IMPORTRANGE(""https://docs.google.com/spreadsheets/d/1XL5vhW3sbDhbH9Cz0tuDiY8C3ctxq1tqvaCgkFb8cCA/edit?usp=sharing"",""นครราชสีมา!I367"")"),0)</f>
        <v>0</v>
      </c>
      <c r="J472" s="189">
        <f ca="1">IFERROR(__xludf.DUMMYFUNCTION("IMPORTRANGE(""https://docs.google.com/spreadsheets/d/1XL5vhW3sbDhbH9Cz0tuDiY8C3ctxq1tqvaCgkFb8cCA/edit?usp=sharing"",""นครราชสีมา!J367"")"),149)</f>
        <v>149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IFERROR(__xludf.DUMMYFUNCTION("IMPORTRANGE(""https://docs.google.com/spreadsheets/d/1XL5vhW3sbDhbH9Cz0tuDiY8C3ctxq1tqvaCgkFb8cCA/edit?usp=sharing"",""นครราชสีมา!I368"")"),59004)</f>
        <v>59004</v>
      </c>
      <c r="J473" s="420">
        <f ca="1">IFERROR(__xludf.DUMMYFUNCTION("IMPORTRANGE(""https://docs.google.com/spreadsheets/d/1XL5vhW3sbDhbH9Cz0tuDiY8C3ctxq1tqvaCgkFb8cCA/edit?usp=sharing"",""นครราชสีมา!J368"")"),59004)</f>
        <v>59004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IFERROR(__xludf.DUMMYFUNCTION("IMPORTRANGE(""https://docs.google.com/spreadsheets/d/1XL5vhW3sbDhbH9Cz0tuDiY8C3ctxq1tqvaCgkFb8cCA/edit?usp=sharing"",""นครราชสีมา!I369"")"),6719)</f>
        <v>6719</v>
      </c>
      <c r="J474" s="420">
        <f ca="1">IFERROR(__xludf.DUMMYFUNCTION("IMPORTRANGE(""https://docs.google.com/spreadsheets/d/1XL5vhW3sbDhbH9Cz0tuDiY8C3ctxq1tqvaCgkFb8cCA/edit?usp=sharing"",""นครราชสีมา!J369"")"),6719)</f>
        <v>6719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IFERROR(__xludf.DUMMYFUNCTION("IMPORTRANGE(""https://docs.google.com/spreadsheets/d/1XL5vhW3sbDhbH9Cz0tuDiY8C3ctxq1tqvaCgkFb8cCA/edit?usp=sharing"",""นครราชสีมา!I370"")"),0)</f>
        <v>0</v>
      </c>
      <c r="J475" s="189">
        <f ca="1">IFERROR(__xludf.DUMMYFUNCTION("IMPORTRANGE(""https://docs.google.com/spreadsheets/d/1XL5vhW3sbDhbH9Cz0tuDiY8C3ctxq1tqvaCgkFb8cCA/edit?usp=sharing"",""นครราชสีมา!J370"")"),36708)</f>
        <v>36708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IFERROR(__xludf.DUMMYFUNCTION("IMPORTRANGE(""https://docs.google.com/spreadsheets/d/1XL5vhW3sbDhbH9Cz0tuDiY8C3ctxq1tqvaCgkFb8cCA/edit?usp=sharing"",""นครราชสีมา!I371"")"),0)</f>
        <v>0</v>
      </c>
      <c r="J476" s="189">
        <f ca="1">IFERROR(__xludf.DUMMYFUNCTION("IMPORTRANGE(""https://docs.google.com/spreadsheets/d/1XL5vhW3sbDhbH9Cz0tuDiY8C3ctxq1tqvaCgkFb8cCA/edit?usp=sharing"",""นครราชสีมา!J371"")"),4963)</f>
        <v>4963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IFERROR(__xludf.DUMMYFUNCTION("IMPORTRANGE(""https://docs.google.com/spreadsheets/d/1XL5vhW3sbDhbH9Cz0tuDiY8C3ctxq1tqvaCgkFb8cCA/edit?usp=sharing"",""นครราชสีมา!I372"")"),0)</f>
        <v>0</v>
      </c>
      <c r="J477" s="189">
        <f ca="1">IFERROR(__xludf.DUMMYFUNCTION("IMPORTRANGE(""https://docs.google.com/spreadsheets/d/1XL5vhW3sbDhbH9Cz0tuDiY8C3ctxq1tqvaCgkFb8cCA/edit?usp=sharing"",""นครราชสีมา!J372"")"),20569)</f>
        <v>20569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IFERROR(__xludf.DUMMYFUNCTION("IMPORTRANGE(""https://docs.google.com/spreadsheets/d/1XL5vhW3sbDhbH9Cz0tuDiY8C3ctxq1tqvaCgkFb8cCA/edit?usp=sharing"",""นครราชสีมา!I373"")"),0)</f>
        <v>0</v>
      </c>
      <c r="J478" s="189">
        <f ca="1">IFERROR(__xludf.DUMMYFUNCTION("IMPORTRANGE(""https://docs.google.com/spreadsheets/d/1XL5vhW3sbDhbH9Cz0tuDiY8C3ctxq1tqvaCgkFb8cCA/edit?usp=sharing"",""นครราชสีมา!J373"")"),1608)</f>
        <v>1608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IFERROR(__xludf.DUMMYFUNCTION("IMPORTRANGE(""https://docs.google.com/spreadsheets/d/1XL5vhW3sbDhbH9Cz0tuDiY8C3ctxq1tqvaCgkFb8cCA/edit?usp=sharing"",""นครราชสีมา!I374"")"),0)</f>
        <v>0</v>
      </c>
      <c r="J479" s="189">
        <f ca="1">IFERROR(__xludf.DUMMYFUNCTION("IMPORTRANGE(""https://docs.google.com/spreadsheets/d/1XL5vhW3sbDhbH9Cz0tuDiY8C3ctxq1tqvaCgkFb8cCA/edit?usp=sharing"",""นครราชสีมา!J374"")"),1727)</f>
        <v>1727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IFERROR(__xludf.DUMMYFUNCTION("IMPORTRANGE(""https://docs.google.com/spreadsheets/d/1XL5vhW3sbDhbH9Cz0tuDiY8C3ctxq1tqvaCgkFb8cCA/edit?usp=sharing"",""นครราชสีมา!I375"")"),0)</f>
        <v>0</v>
      </c>
      <c r="J480" s="189">
        <f ca="1">IFERROR(__xludf.DUMMYFUNCTION("IMPORTRANGE(""https://docs.google.com/spreadsheets/d/1XL5vhW3sbDhbH9Cz0tuDiY8C3ctxq1tqvaCgkFb8cCA/edit?usp=sharing"",""นครราชสีมา!J375"")"),148)</f>
        <v>148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IFERROR(__xludf.DUMMYFUNCTION("IMPORTRANGE(""https://docs.google.com/spreadsheets/d/1XL5vhW3sbDhbH9Cz0tuDiY8C3ctxq1tqvaCgkFb8cCA/edit?usp=sharing"",""นครราชสีมา!I376"")"),59004)</f>
        <v>59004</v>
      </c>
      <c r="J481" s="420">
        <f ca="1">IFERROR(__xludf.DUMMYFUNCTION("IMPORTRANGE(""https://docs.google.com/spreadsheets/d/1XL5vhW3sbDhbH9Cz0tuDiY8C3ctxq1tqvaCgkFb8cCA/edit?usp=sharing"",""นครราชสีมา!J376"")"),0)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IFERROR(__xludf.DUMMYFUNCTION("IMPORTRANGE(""https://docs.google.com/spreadsheets/d/1XL5vhW3sbDhbH9Cz0tuDiY8C3ctxq1tqvaCgkFb8cCA/edit?usp=sharing"",""นครราชสีมา!I377"")"),6719)</f>
        <v>6719</v>
      </c>
      <c r="J482" s="420">
        <f ca="1">IFERROR(__xludf.DUMMYFUNCTION("IMPORTRANGE(""https://docs.google.com/spreadsheets/d/1XL5vhW3sbDhbH9Cz0tuDiY8C3ctxq1tqvaCgkFb8cCA/edit?usp=sharing"",""นครราชสีมา!J377"")"),0)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IFERROR(__xludf.DUMMYFUNCTION("IMPORTRANGE(""https://docs.google.com/spreadsheets/d/1XL5vhW3sbDhbH9Cz0tuDiY8C3ctxq1tqvaCgkFb8cCA/edit?usp=sharing"",""นครราชสีมา!I378"")"),0)</f>
        <v>0</v>
      </c>
      <c r="J483" s="189">
        <f ca="1">IFERROR(__xludf.DUMMYFUNCTION("IMPORTRANGE(""https://docs.google.com/spreadsheets/d/1XL5vhW3sbDhbH9Cz0tuDiY8C3ctxq1tqvaCgkFb8cCA/edit?usp=sharing"",""นครราชสีมา!J378"")"),0)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IFERROR(__xludf.DUMMYFUNCTION("IMPORTRANGE(""https://docs.google.com/spreadsheets/d/1XL5vhW3sbDhbH9Cz0tuDiY8C3ctxq1tqvaCgkFb8cCA/edit?usp=sharing"",""นครราชสีมา!I379"")"),0)</f>
        <v>0</v>
      </c>
      <c r="J484" s="189">
        <f ca="1">IFERROR(__xludf.DUMMYFUNCTION("IMPORTRANGE(""https://docs.google.com/spreadsheets/d/1XL5vhW3sbDhbH9Cz0tuDiY8C3ctxq1tqvaCgkFb8cCA/edit?usp=sharing"",""นครราชสีมา!J379"")"),0)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IFERROR(__xludf.DUMMYFUNCTION("IMPORTRANGE(""https://docs.google.com/spreadsheets/d/1XL5vhW3sbDhbH9Cz0tuDiY8C3ctxq1tqvaCgkFb8cCA/edit?usp=sharing"",""นครราชสีมา!I380"")"),0)</f>
        <v>0</v>
      </c>
      <c r="J485" s="189">
        <f ca="1">IFERROR(__xludf.DUMMYFUNCTION("IMPORTRANGE(""https://docs.google.com/spreadsheets/d/1XL5vhW3sbDhbH9Cz0tuDiY8C3ctxq1tqvaCgkFb8cCA/edit?usp=sharing"",""นครราชสีมา!J380"")"),0)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IFERROR(__xludf.DUMMYFUNCTION("IMPORTRANGE(""https://docs.google.com/spreadsheets/d/1XL5vhW3sbDhbH9Cz0tuDiY8C3ctxq1tqvaCgkFb8cCA/edit?usp=sharing"",""นครราชสีมา!I381"")"),0)</f>
        <v>0</v>
      </c>
      <c r="J486" s="189">
        <f ca="1">IFERROR(__xludf.DUMMYFUNCTION("IMPORTRANGE(""https://docs.google.com/spreadsheets/d/1XL5vhW3sbDhbH9Cz0tuDiY8C3ctxq1tqvaCgkFb8cCA/edit?usp=sharing"",""นครราชสีมา!J381"")"),0)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IFERROR(__xludf.DUMMYFUNCTION("IMPORTRANGE(""https://docs.google.com/spreadsheets/d/1XL5vhW3sbDhbH9Cz0tuDiY8C3ctxq1tqvaCgkFb8cCA/edit?usp=sharing"",""นครราชสีมา!I382"")"),0)</f>
        <v>0</v>
      </c>
      <c r="J487" s="420">
        <f ca="1">IFERROR(__xludf.DUMMYFUNCTION("IMPORTRANGE(""https://docs.google.com/spreadsheets/d/1XL5vhW3sbDhbH9Cz0tuDiY8C3ctxq1tqvaCgkFb8cCA/edit?usp=sharing"",""นครราชสีมา!J382"")"),0)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IFERROR(__xludf.DUMMYFUNCTION("IMPORTRANGE(""https://docs.google.com/spreadsheets/d/1XL5vhW3sbDhbH9Cz0tuDiY8C3ctxq1tqvaCgkFb8cCA/edit?usp=sharing"",""นครราชสีมา!I383"")"),0)</f>
        <v>0</v>
      </c>
      <c r="J488" s="420">
        <f ca="1">IFERROR(__xludf.DUMMYFUNCTION("IMPORTRANGE(""https://docs.google.com/spreadsheets/d/1XL5vhW3sbDhbH9Cz0tuDiY8C3ctxq1tqvaCgkFb8cCA/edit?usp=sharing"",""นครราชสีมา!J383"")"),0)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IFERROR(__xludf.DUMMYFUNCTION("IMPORTRANGE(""https://docs.google.com/spreadsheets/d/1XL5vhW3sbDhbH9Cz0tuDiY8C3ctxq1tqvaCgkFb8cCA/edit?usp=sharing"",""นครราชสีมา!I384"")"),0)</f>
        <v>0</v>
      </c>
      <c r="J489" s="189">
        <f ca="1">IFERROR(__xludf.DUMMYFUNCTION("IMPORTRANGE(""https://docs.google.com/spreadsheets/d/1XL5vhW3sbDhbH9Cz0tuDiY8C3ctxq1tqvaCgkFb8cCA/edit?usp=sharing"",""นครราชสีมา!J384"")"),0)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IFERROR(__xludf.DUMMYFUNCTION("IMPORTRANGE(""https://docs.google.com/spreadsheets/d/1XL5vhW3sbDhbH9Cz0tuDiY8C3ctxq1tqvaCgkFb8cCA/edit?usp=sharing"",""นครราชสีมา!I385"")"),0)</f>
        <v>0</v>
      </c>
      <c r="J490" s="189">
        <f ca="1">IFERROR(__xludf.DUMMYFUNCTION("IMPORTRANGE(""https://docs.google.com/spreadsheets/d/1XL5vhW3sbDhbH9Cz0tuDiY8C3ctxq1tqvaCgkFb8cCA/edit?usp=sharing"",""นครราชสีมา!J385"")"),0)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IFERROR(__xludf.DUMMYFUNCTION("IMPORTRANGE(""https://docs.google.com/spreadsheets/d/1XL5vhW3sbDhbH9Cz0tuDiY8C3ctxq1tqvaCgkFb8cCA/edit?usp=sharing"",""นครราชสีมา!I386"")"),0)</f>
        <v>0</v>
      </c>
      <c r="J491" s="189">
        <f ca="1">IFERROR(__xludf.DUMMYFUNCTION("IMPORTRANGE(""https://docs.google.com/spreadsheets/d/1XL5vhW3sbDhbH9Cz0tuDiY8C3ctxq1tqvaCgkFb8cCA/edit?usp=sharing"",""นครราชสีมา!J386"")"),0)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IFERROR(__xludf.DUMMYFUNCTION("IMPORTRANGE(""https://docs.google.com/spreadsheets/d/1XL5vhW3sbDhbH9Cz0tuDiY8C3ctxq1tqvaCgkFb8cCA/edit?usp=sharing"",""นครราชสีมา!I387"")"),0)</f>
        <v>0</v>
      </c>
      <c r="J492" s="189">
        <f ca="1">IFERROR(__xludf.DUMMYFUNCTION("IMPORTRANGE(""https://docs.google.com/spreadsheets/d/1XL5vhW3sbDhbH9Cz0tuDiY8C3ctxq1tqvaCgkFb8cCA/edit?usp=sharing"",""นครราชสีมา!J387"")"),0)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IFERROR(__xludf.DUMMYFUNCTION("IMPORTRANGE(""https://docs.google.com/spreadsheets/d/1XL5vhW3sbDhbH9Cz0tuDiY8C3ctxq1tqvaCgkFb8cCA/edit?usp=sharing"",""นครราชสีมา!I388"")"),0)</f>
        <v>0</v>
      </c>
      <c r="J493" s="189">
        <f ca="1">IFERROR(__xludf.DUMMYFUNCTION("IMPORTRANGE(""https://docs.google.com/spreadsheets/d/1XL5vhW3sbDhbH9Cz0tuDiY8C3ctxq1tqvaCgkFb8cCA/edit?usp=sharing"",""นครราชสีมา!J388"")"),0)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IFERROR(__xludf.DUMMYFUNCTION("IMPORTRANGE(""https://docs.google.com/spreadsheets/d/1XL5vhW3sbDhbH9Cz0tuDiY8C3ctxq1tqvaCgkFb8cCA/edit?usp=sharing"",""นครราชสีมา!I389"")"),0)</f>
        <v>0</v>
      </c>
      <c r="J494" s="436">
        <f ca="1">IFERROR(__xludf.DUMMYFUNCTION("IMPORTRANGE(""https://docs.google.com/spreadsheets/d/1XL5vhW3sbDhbH9Cz0tuDiY8C3ctxq1tqvaCgkFb8cCA/edit?usp=sharing"",""นครราชสีมา!J389"")"),0)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IFERROR(__xludf.DUMMYFUNCTION("IMPORTRANGE(""https://docs.google.com/spreadsheets/d/1XL5vhW3sbDhbH9Cz0tuDiY8C3ctxq1tqvaCgkFb8cCA/edit?usp=sharing"",""นครราชสีมา!I390"")"),0)</f>
        <v>0</v>
      </c>
      <c r="J495" s="436">
        <f ca="1">IFERROR(__xludf.DUMMYFUNCTION("IMPORTRANGE(""https://docs.google.com/spreadsheets/d/1XL5vhW3sbDhbH9Cz0tuDiY8C3ctxq1tqvaCgkFb8cCA/edit?usp=sharing"",""นครราชสีมา!J390"")"),0)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IFERROR(__xludf.DUMMYFUNCTION("IMPORTRANGE(""https://docs.google.com/spreadsheets/d/1XL5vhW3sbDhbH9Cz0tuDiY8C3ctxq1tqvaCgkFb8cCA/edit?usp=sharing"",""นครราชสีมา!I391"")"),0)</f>
        <v>0</v>
      </c>
      <c r="J496" s="436">
        <f ca="1">IFERROR(__xludf.DUMMYFUNCTION("IMPORTRANGE(""https://docs.google.com/spreadsheets/d/1XL5vhW3sbDhbH9Cz0tuDiY8C3ctxq1tqvaCgkFb8cCA/edit?usp=sharing"",""นครราชสีมา!J391"")"),0)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IFERROR(__xludf.DUMMYFUNCTION("IMPORTRANGE(""https://docs.google.com/spreadsheets/d/1XL5vhW3sbDhbH9Cz0tuDiY8C3ctxq1tqvaCgkFb8cCA/edit?usp=sharing"",""นครราชสีมา!I392"")"),5980)</f>
        <v>5980</v>
      </c>
      <c r="J497" s="443">
        <f ca="1">IFERROR(__xludf.DUMMYFUNCTION("IMPORTRANGE(""https://docs.google.com/spreadsheets/d/1XL5vhW3sbDhbH9Cz0tuDiY8C3ctxq1tqvaCgkFb8cCA/edit?usp=sharing"",""นครราชสีมา!J392"")"),0)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IFERROR(__xludf.DUMMYFUNCTION("IMPORTRANGE(""https://docs.google.com/spreadsheets/d/1XL5vhW3sbDhbH9Cz0tuDiY8C3ctxq1tqvaCgkFb8cCA/edit?usp=sharing"",""นครราชสีมา!I393"")"),5980)</f>
        <v>5980</v>
      </c>
      <c r="J498" s="420">
        <f ca="1">IFERROR(__xludf.DUMMYFUNCTION("IMPORTRANGE(""https://docs.google.com/spreadsheets/d/1XL5vhW3sbDhbH9Cz0tuDiY8C3ctxq1tqvaCgkFb8cCA/edit?usp=sharing"",""นครราชสีมา!J393"")"),0)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IFERROR(__xludf.DUMMYFUNCTION("IMPORTRANGE(""https://docs.google.com/spreadsheets/d/1XL5vhW3sbDhbH9Cz0tuDiY8C3ctxq1tqvaCgkFb8cCA/edit?usp=sharing"",""นครราชสีมา!I394"")"),450)</f>
        <v>450</v>
      </c>
      <c r="J499" s="420">
        <f ca="1">IFERROR(__xludf.DUMMYFUNCTION("IMPORTRANGE(""https://docs.google.com/spreadsheets/d/1XL5vhW3sbDhbH9Cz0tuDiY8C3ctxq1tqvaCgkFb8cCA/edit?usp=sharing"",""นครราชสีมา!J394"")"),0)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IFERROR(__xludf.DUMMYFUNCTION("IMPORTRANGE(""https://docs.google.com/spreadsheets/d/1XL5vhW3sbDhbH9Cz0tuDiY8C3ctxq1tqvaCgkFb8cCA/edit?usp=sharing"",""นครราชสีมา!I395"")"),0)</f>
        <v>0</v>
      </c>
      <c r="J500" s="162">
        <f ca="1">IFERROR(__xludf.DUMMYFUNCTION("IMPORTRANGE(""https://docs.google.com/spreadsheets/d/1XL5vhW3sbDhbH9Cz0tuDiY8C3ctxq1tqvaCgkFb8cCA/edit?usp=sharing"",""นครราชสีมา!J395"")"),0)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IFERROR(__xludf.DUMMYFUNCTION("IMPORTRANGE(""https://docs.google.com/spreadsheets/d/1XL5vhW3sbDhbH9Cz0tuDiY8C3ctxq1tqvaCgkFb8cCA/edit?usp=sharing"",""นครราชสีมา!I396"")"),0)</f>
        <v>0</v>
      </c>
      <c r="J501" s="162">
        <f ca="1">IFERROR(__xludf.DUMMYFUNCTION("IMPORTRANGE(""https://docs.google.com/spreadsheets/d/1XL5vhW3sbDhbH9Cz0tuDiY8C3ctxq1tqvaCgkFb8cCA/edit?usp=sharing"",""นครราชสีมา!J396"")"),0)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IFERROR(__xludf.DUMMYFUNCTION("IMPORTRANGE(""https://docs.google.com/spreadsheets/d/1XL5vhW3sbDhbH9Cz0tuDiY8C3ctxq1tqvaCgkFb8cCA/edit?usp=sharing"",""นครราชสีมา!I397"")"),0)</f>
        <v>0</v>
      </c>
      <c r="J502" s="189">
        <f ca="1">IFERROR(__xludf.DUMMYFUNCTION("IMPORTRANGE(""https://docs.google.com/spreadsheets/d/1XL5vhW3sbDhbH9Cz0tuDiY8C3ctxq1tqvaCgkFb8cCA/edit?usp=sharing"",""นครราชสีมา!J397"")"),0)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IFERROR(__xludf.DUMMYFUNCTION("IMPORTRANGE(""https://docs.google.com/spreadsheets/d/1XL5vhW3sbDhbH9Cz0tuDiY8C3ctxq1tqvaCgkFb8cCA/edit?usp=sharing"",""นครราชสีมา!I398"")"),0)</f>
        <v>0</v>
      </c>
      <c r="J503" s="198">
        <f ca="1">IFERROR(__xludf.DUMMYFUNCTION("IMPORTRANGE(""https://docs.google.com/spreadsheets/d/1XL5vhW3sbDhbH9Cz0tuDiY8C3ctxq1tqvaCgkFb8cCA/edit?usp=sharing"",""นครราชสีมา!J398"")"),0)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IFERROR(__xludf.DUMMYFUNCTION("IMPORTRANGE(""https://docs.google.com/spreadsheets/d/1XL5vhW3sbDhbH9Cz0tuDiY8C3ctxq1tqvaCgkFb8cCA/edit?usp=sharing"",""นครราชสีมา!I399"")"),0)</f>
        <v>0</v>
      </c>
      <c r="J504" s="189">
        <f ca="1">IFERROR(__xludf.DUMMYFUNCTION("IMPORTRANGE(""https://docs.google.com/spreadsheets/d/1XL5vhW3sbDhbH9Cz0tuDiY8C3ctxq1tqvaCgkFb8cCA/edit?usp=sharing"",""นครราชสีมา!J399"")"),0)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IFERROR(__xludf.DUMMYFUNCTION("IMPORTRANGE(""https://docs.google.com/spreadsheets/d/1XL5vhW3sbDhbH9Cz0tuDiY8C3ctxq1tqvaCgkFb8cCA/edit?usp=sharing"",""นครราชสีมา!I400"")"),0)</f>
        <v>0</v>
      </c>
      <c r="J505" s="198">
        <f ca="1">IFERROR(__xludf.DUMMYFUNCTION("IMPORTRANGE(""https://docs.google.com/spreadsheets/d/1XL5vhW3sbDhbH9Cz0tuDiY8C3ctxq1tqvaCgkFb8cCA/edit?usp=sharing"",""นครราชสีมา!J400"")"),0)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IFERROR(__xludf.DUMMYFUNCTION("IMPORTRANGE(""https://docs.google.com/spreadsheets/d/1XL5vhW3sbDhbH9Cz0tuDiY8C3ctxq1tqvaCgkFb8cCA/edit?usp=sharing"",""นครราชสีมา!I401"")"),0)</f>
        <v>0</v>
      </c>
      <c r="J506" s="189">
        <f ca="1">IFERROR(__xludf.DUMMYFUNCTION("IMPORTRANGE(""https://docs.google.com/spreadsheets/d/1XL5vhW3sbDhbH9Cz0tuDiY8C3ctxq1tqvaCgkFb8cCA/edit?usp=sharing"",""นครราชสีมา!J401"")"),0)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IFERROR(__xludf.DUMMYFUNCTION("IMPORTRANGE(""https://docs.google.com/spreadsheets/d/1XL5vhW3sbDhbH9Cz0tuDiY8C3ctxq1tqvaCgkFb8cCA/edit?usp=sharing"",""นครราชสีมา!I402"")"),0)</f>
        <v>0</v>
      </c>
      <c r="J507" s="198">
        <f ca="1">IFERROR(__xludf.DUMMYFUNCTION("IMPORTRANGE(""https://docs.google.com/spreadsheets/d/1XL5vhW3sbDhbH9Cz0tuDiY8C3ctxq1tqvaCgkFb8cCA/edit?usp=sharing"",""นครราชสีมา!J402"")"),0)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IFERROR(__xludf.DUMMYFUNCTION("IMPORTRANGE(""https://docs.google.com/spreadsheets/d/1XL5vhW3sbDhbH9Cz0tuDiY8C3ctxq1tqvaCgkFb8cCA/edit?usp=sharing"",""นครราชสีมา!I403"")"),0)</f>
        <v>0</v>
      </c>
      <c r="J508" s="162">
        <f ca="1">IFERROR(__xludf.DUMMYFUNCTION("IMPORTRANGE(""https://docs.google.com/spreadsheets/d/1XL5vhW3sbDhbH9Cz0tuDiY8C3ctxq1tqvaCgkFb8cCA/edit?usp=sharing"",""นครราชสีมา!J403"")"),0)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IFERROR(__xludf.DUMMYFUNCTION("IMPORTRANGE(""https://docs.google.com/spreadsheets/d/1XL5vhW3sbDhbH9Cz0tuDiY8C3ctxq1tqvaCgkFb8cCA/edit?usp=sharing"",""นครราชสีมา!I404"")"),0)</f>
        <v>0</v>
      </c>
      <c r="J509" s="162">
        <f ca="1">IFERROR(__xludf.DUMMYFUNCTION("IMPORTRANGE(""https://docs.google.com/spreadsheets/d/1XL5vhW3sbDhbH9Cz0tuDiY8C3ctxq1tqvaCgkFb8cCA/edit?usp=sharing"",""นครราชสีมา!J404"")"),0)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IFERROR(__xludf.DUMMYFUNCTION("IMPORTRANGE(""https://docs.google.com/spreadsheets/d/1XL5vhW3sbDhbH9Cz0tuDiY8C3ctxq1tqvaCgkFb8cCA/edit?usp=sharing"",""นครราชสีมา!I405"")"),0)</f>
        <v>0</v>
      </c>
      <c r="J510" s="198">
        <f ca="1">IFERROR(__xludf.DUMMYFUNCTION("IMPORTRANGE(""https://docs.google.com/spreadsheets/d/1XL5vhW3sbDhbH9Cz0tuDiY8C3ctxq1tqvaCgkFb8cCA/edit?usp=sharing"",""นครราชสีมา!J405"")"),0)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IFERROR(__xludf.DUMMYFUNCTION("IMPORTRANGE(""https://docs.google.com/spreadsheets/d/1XL5vhW3sbDhbH9Cz0tuDiY8C3ctxq1tqvaCgkFb8cCA/edit?usp=sharing"",""นครราชสีมา!I406"")"),0)</f>
        <v>0</v>
      </c>
      <c r="J511" s="198">
        <f ca="1">IFERROR(__xludf.DUMMYFUNCTION("IMPORTRANGE(""https://docs.google.com/spreadsheets/d/1XL5vhW3sbDhbH9Cz0tuDiY8C3ctxq1tqvaCgkFb8cCA/edit?usp=sharing"",""นครราชสีมา!J406"")"),0)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IFERROR(__xludf.DUMMYFUNCTION("IMPORTRANGE(""https://docs.google.com/spreadsheets/d/1XL5vhW3sbDhbH9Cz0tuDiY8C3ctxq1tqvaCgkFb8cCA/edit?usp=sharing"",""นครราชสีมา!I407"")"),0)</f>
        <v>0</v>
      </c>
      <c r="J512" s="198">
        <f ca="1">IFERROR(__xludf.DUMMYFUNCTION("IMPORTRANGE(""https://docs.google.com/spreadsheets/d/1XL5vhW3sbDhbH9Cz0tuDiY8C3ctxq1tqvaCgkFb8cCA/edit?usp=sharing"",""นครราชสีมา!J407"")"),0)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IFERROR(__xludf.DUMMYFUNCTION("IMPORTRANGE(""https://docs.google.com/spreadsheets/d/1XL5vhW3sbDhbH9Cz0tuDiY8C3ctxq1tqvaCgkFb8cCA/edit?usp=sharing"",""นครราชสีมา!I408"")"),0)</f>
        <v>0</v>
      </c>
      <c r="J513" s="198">
        <f ca="1">IFERROR(__xludf.DUMMYFUNCTION("IMPORTRANGE(""https://docs.google.com/spreadsheets/d/1XL5vhW3sbDhbH9Cz0tuDiY8C3ctxq1tqvaCgkFb8cCA/edit?usp=sharing"",""นครราชสีมา!J408"")"),0)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IFERROR(__xludf.DUMMYFUNCTION("IMPORTRANGE(""https://docs.google.com/spreadsheets/d/1XL5vhW3sbDhbH9Cz0tuDiY8C3ctxq1tqvaCgkFb8cCA/edit?usp=sharing"",""นครราชสีมา!I409"")"),0)</f>
        <v>0</v>
      </c>
      <c r="J514" s="198">
        <f ca="1">IFERROR(__xludf.DUMMYFUNCTION("IMPORTRANGE(""https://docs.google.com/spreadsheets/d/1XL5vhW3sbDhbH9Cz0tuDiY8C3ctxq1tqvaCgkFb8cCA/edit?usp=sharing"",""นครราชสีมา!J409"")"),0)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IFERROR(__xludf.DUMMYFUNCTION("IMPORTRANGE(""https://docs.google.com/spreadsheets/d/1XL5vhW3sbDhbH9Cz0tuDiY8C3ctxq1tqvaCgkFb8cCA/edit?usp=sharing"",""นครราชสีมา!I410"")"),0)</f>
        <v>0</v>
      </c>
      <c r="J515" s="198">
        <f ca="1">IFERROR(__xludf.DUMMYFUNCTION("IMPORTRANGE(""https://docs.google.com/spreadsheets/d/1XL5vhW3sbDhbH9Cz0tuDiY8C3ctxq1tqvaCgkFb8cCA/edit?usp=sharing"",""นครราชสีมา!J410"")"),0)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IFERROR(__xludf.DUMMYFUNCTION("IMPORTRANGE(""https://docs.google.com/spreadsheets/d/1XL5vhW3sbDhbH9Cz0tuDiY8C3ctxq1tqvaCgkFb8cCA/edit?usp=sharing"",""นครราชสีมา!I411"")"),0)</f>
        <v>0</v>
      </c>
      <c r="J516" s="267">
        <f ca="1">IFERROR(__xludf.DUMMYFUNCTION("IMPORTRANGE(""https://docs.google.com/spreadsheets/d/1XL5vhW3sbDhbH9Cz0tuDiY8C3ctxq1tqvaCgkFb8cCA/edit?usp=sharing"",""นครราชสีมา!J411"")"),0)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IFERROR(__xludf.DUMMYFUNCTION("IMPORTRANGE(""https://docs.google.com/spreadsheets/d/1XL5vhW3sbDhbH9Cz0tuDiY8C3ctxq1tqvaCgkFb8cCA/edit?usp=sharing"",""นครราชสีมา!I412"")"),0)</f>
        <v>0</v>
      </c>
      <c r="J517" s="284">
        <f ca="1">IFERROR(__xludf.DUMMYFUNCTION("IMPORTRANGE(""https://docs.google.com/spreadsheets/d/1XL5vhW3sbDhbH9Cz0tuDiY8C3ctxq1tqvaCgkFb8cCA/edit?usp=sharing"",""นครราชสีมา!J412"")"),0)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IFERROR(__xludf.DUMMYFUNCTION("IMPORTRANGE(""https://docs.google.com/spreadsheets/d/1XL5vhW3sbDhbH9Cz0tuDiY8C3ctxq1tqvaCgkFb8cCA/edit?usp=sharing"",""นครราชสีมา!I413"")"),0)</f>
        <v>0</v>
      </c>
      <c r="J518" s="284">
        <f ca="1">IFERROR(__xludf.DUMMYFUNCTION("IMPORTRANGE(""https://docs.google.com/spreadsheets/d/1XL5vhW3sbDhbH9Cz0tuDiY8C3ctxq1tqvaCgkFb8cCA/edit?usp=sharing"",""นครราชสีมา!J413"")"),0)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IFERROR(__xludf.DUMMYFUNCTION("IMPORTRANGE(""https://docs.google.com/spreadsheets/d/1XL5vhW3sbDhbH9Cz0tuDiY8C3ctxq1tqvaCgkFb8cCA/edit?usp=sharing"",""นครราชสีมา!I414"")"),0)</f>
        <v>0</v>
      </c>
      <c r="J519" s="188">
        <f ca="1">IFERROR(__xludf.DUMMYFUNCTION("IMPORTRANGE(""https://docs.google.com/spreadsheets/d/1XL5vhW3sbDhbH9Cz0tuDiY8C3ctxq1tqvaCgkFb8cCA/edit?usp=sharing"",""นครราชสีมา!J414"")"),0)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IFERROR(__xludf.DUMMYFUNCTION("IMPORTRANGE(""https://docs.google.com/spreadsheets/d/1XL5vhW3sbDhbH9Cz0tuDiY8C3ctxq1tqvaCgkFb8cCA/edit?usp=sharing"",""นครราชสีมา!I415"")"),0)</f>
        <v>0</v>
      </c>
      <c r="J520" s="188">
        <f ca="1">IFERROR(__xludf.DUMMYFUNCTION("IMPORTRANGE(""https://docs.google.com/spreadsheets/d/1XL5vhW3sbDhbH9Cz0tuDiY8C3ctxq1tqvaCgkFb8cCA/edit?usp=sharing"",""นครราชสีมา!J415"")"),0)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IFERROR(__xludf.DUMMYFUNCTION("IMPORTRANGE(""https://docs.google.com/spreadsheets/d/1XL5vhW3sbDhbH9Cz0tuDiY8C3ctxq1tqvaCgkFb8cCA/edit?usp=sharing"",""นครราชสีมา!I416"")"),0)</f>
        <v>0</v>
      </c>
      <c r="J521" s="188">
        <f ca="1">IFERROR(__xludf.DUMMYFUNCTION("IMPORTRANGE(""https://docs.google.com/spreadsheets/d/1XL5vhW3sbDhbH9Cz0tuDiY8C3ctxq1tqvaCgkFb8cCA/edit?usp=sharing"",""นครราชสีมา!J416"")"),0)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IFERROR(__xludf.DUMMYFUNCTION("IMPORTRANGE(""https://docs.google.com/spreadsheets/d/1XL5vhW3sbDhbH9Cz0tuDiY8C3ctxq1tqvaCgkFb8cCA/edit?usp=sharing"",""นครราชสีมา!I417"")"),0)</f>
        <v>0</v>
      </c>
      <c r="J522" s="188">
        <f ca="1">IFERROR(__xludf.DUMMYFUNCTION("IMPORTRANGE(""https://docs.google.com/spreadsheets/d/1XL5vhW3sbDhbH9Cz0tuDiY8C3ctxq1tqvaCgkFb8cCA/edit?usp=sharing"",""นครราชสีมา!J417"")"),0)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IFERROR(__xludf.DUMMYFUNCTION("IMPORTRANGE(""https://docs.google.com/spreadsheets/d/1XL5vhW3sbDhbH9Cz0tuDiY8C3ctxq1tqvaCgkFb8cCA/edit?usp=sharing"",""นครราชสีมา!I418"")"),0)</f>
        <v>0</v>
      </c>
      <c r="J523" s="188">
        <f ca="1">IFERROR(__xludf.DUMMYFUNCTION("IMPORTRANGE(""https://docs.google.com/spreadsheets/d/1XL5vhW3sbDhbH9Cz0tuDiY8C3ctxq1tqvaCgkFb8cCA/edit?usp=sharing"",""นครราชสีมา!J418"")"),887)</f>
        <v>887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IFERROR(__xludf.DUMMYFUNCTION("IMPORTRANGE(""https://docs.google.com/spreadsheets/d/1XL5vhW3sbDhbH9Cz0tuDiY8C3ctxq1tqvaCgkFb8cCA/edit?usp=sharing"",""นครราชสีมา!I419"")"),0)</f>
        <v>0</v>
      </c>
      <c r="J524" s="188">
        <f ca="1">IFERROR(__xludf.DUMMYFUNCTION("IMPORTRANGE(""https://docs.google.com/spreadsheets/d/1XL5vhW3sbDhbH9Cz0tuDiY8C3ctxq1tqvaCgkFb8cCA/edit?usp=sharing"",""นครราชสีมา!J419"")"),57)</f>
        <v>57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IFERROR(__xludf.DUMMYFUNCTION("IMPORTRANGE(""https://docs.google.com/spreadsheets/d/1XL5vhW3sbDhbH9Cz0tuDiY8C3ctxq1tqvaCgkFb8cCA/edit?usp=sharing"",""นครราชสีมา!I420"")"),887)</f>
        <v>887</v>
      </c>
      <c r="J525" s="284">
        <f ca="1">IFERROR(__xludf.DUMMYFUNCTION("IMPORTRANGE(""https://docs.google.com/spreadsheets/d/1XL5vhW3sbDhbH9Cz0tuDiY8C3ctxq1tqvaCgkFb8cCA/edit?usp=sharing"",""นครราชสีมา!J420"")"),0)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IFERROR(__xludf.DUMMYFUNCTION("IMPORTRANGE(""https://docs.google.com/spreadsheets/d/1XL5vhW3sbDhbH9Cz0tuDiY8C3ctxq1tqvaCgkFb8cCA/edit?usp=sharing"",""นครราชสีมา!I421"")"),57)</f>
        <v>57</v>
      </c>
      <c r="J526" s="284">
        <f ca="1">IFERROR(__xludf.DUMMYFUNCTION("IMPORTRANGE(""https://docs.google.com/spreadsheets/d/1XL5vhW3sbDhbH9Cz0tuDiY8C3ctxq1tqvaCgkFb8cCA/edit?usp=sharing"",""นครราชสีมา!J421"")"),0)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IFERROR(__xludf.DUMMYFUNCTION("IMPORTRANGE(""https://docs.google.com/spreadsheets/d/1XL5vhW3sbDhbH9Cz0tuDiY8C3ctxq1tqvaCgkFb8cCA/edit?usp=sharing"",""นครราชสีมา!I422"")"),0)</f>
        <v>0</v>
      </c>
      <c r="J527" s="198">
        <f ca="1">IFERROR(__xludf.DUMMYFUNCTION("IMPORTRANGE(""https://docs.google.com/spreadsheets/d/1XL5vhW3sbDhbH9Cz0tuDiY8C3ctxq1tqvaCgkFb8cCA/edit?usp=sharing"",""นครราชสีมา!J422"")"),0)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IFERROR(__xludf.DUMMYFUNCTION("IMPORTRANGE(""https://docs.google.com/spreadsheets/d/1XL5vhW3sbDhbH9Cz0tuDiY8C3ctxq1tqvaCgkFb8cCA/edit?usp=sharing"",""นครราชสีมา!I423"")"),0)</f>
        <v>0</v>
      </c>
      <c r="J528" s="198">
        <f ca="1">IFERROR(__xludf.DUMMYFUNCTION("IMPORTRANGE(""https://docs.google.com/spreadsheets/d/1XL5vhW3sbDhbH9Cz0tuDiY8C3ctxq1tqvaCgkFb8cCA/edit?usp=sharing"",""นครราชสีมา!J423"")"),0)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IFERROR(__xludf.DUMMYFUNCTION("IMPORTRANGE(""https://docs.google.com/spreadsheets/d/1XL5vhW3sbDhbH9Cz0tuDiY8C3ctxq1tqvaCgkFb8cCA/edit?usp=sharing"",""นครราชสีมา!I424"")"),0)</f>
        <v>0</v>
      </c>
      <c r="J529" s="198">
        <f ca="1">IFERROR(__xludf.DUMMYFUNCTION("IMPORTRANGE(""https://docs.google.com/spreadsheets/d/1XL5vhW3sbDhbH9Cz0tuDiY8C3ctxq1tqvaCgkFb8cCA/edit?usp=sharing"",""นครราชสีมา!J424"")"),0)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IFERROR(__xludf.DUMMYFUNCTION("IMPORTRANGE(""https://docs.google.com/spreadsheets/d/1XL5vhW3sbDhbH9Cz0tuDiY8C3ctxq1tqvaCgkFb8cCA/edit?usp=sharing"",""นครราชสีมา!I425"")"),0)</f>
        <v>0</v>
      </c>
      <c r="J530" s="198">
        <f ca="1">IFERROR(__xludf.DUMMYFUNCTION("IMPORTRANGE(""https://docs.google.com/spreadsheets/d/1XL5vhW3sbDhbH9Cz0tuDiY8C3ctxq1tqvaCgkFb8cCA/edit?usp=sharing"",""นครราชสีมา!J425"")"),0)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IFERROR(__xludf.DUMMYFUNCTION("IMPORTRANGE(""https://docs.google.com/spreadsheets/d/1XL5vhW3sbDhbH9Cz0tuDiY8C3ctxq1tqvaCgkFb8cCA/edit?usp=sharing"",""นครราชสีมา!I426"")"),0)</f>
        <v>0</v>
      </c>
      <c r="J531" s="198">
        <f ca="1">IFERROR(__xludf.DUMMYFUNCTION("IMPORTRANGE(""https://docs.google.com/spreadsheets/d/1XL5vhW3sbDhbH9Cz0tuDiY8C3ctxq1tqvaCgkFb8cCA/edit?usp=sharing"",""นครราชสีมา!J426"")"),0)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IFERROR(__xludf.DUMMYFUNCTION("IMPORTRANGE(""https://docs.google.com/spreadsheets/d/1XL5vhW3sbDhbH9Cz0tuDiY8C3ctxq1tqvaCgkFb8cCA/edit?usp=sharing"",""นครราชสีมา!I427"")"),0)</f>
        <v>0</v>
      </c>
      <c r="J532" s="466">
        <f ca="1">IFERROR(__xludf.DUMMYFUNCTION("IMPORTRANGE(""https://docs.google.com/spreadsheets/d/1XL5vhW3sbDhbH9Cz0tuDiY8C3ctxq1tqvaCgkFb8cCA/edit?usp=sharing"",""นครราชสีมา!J427"")"),0)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IFERROR(__xludf.DUMMYFUNCTION("IMPORTRANGE(""https://docs.google.com/spreadsheets/d/1XL5vhW3sbDhbH9Cz0tuDiY8C3ctxq1tqvaCgkFb8cCA/edit?usp=sharing"",""นครราชสีมา!I428"")"),24)</f>
        <v>24</v>
      </c>
      <c r="J533" s="410">
        <f ca="1">IFERROR(__xludf.DUMMYFUNCTION("IMPORTRANGE(""https://docs.google.com/spreadsheets/d/1XL5vhW3sbDhbH9Cz0tuDiY8C3ctxq1tqvaCgkFb8cCA/edit?usp=sharing"",""นครราชสีมา!J428"")"),24)</f>
        <v>24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IFERROR(__xludf.DUMMYFUNCTION("IMPORTRANGE(""https://docs.google.com/spreadsheets/d/1XL5vhW3sbDhbH9Cz0tuDiY8C3ctxq1tqvaCgkFb8cCA/edit?usp=sharing"",""นครราชสีมา!L428"")"),36040)</f>
        <v>36040</v>
      </c>
      <c r="M533" s="412"/>
      <c r="N533" s="412">
        <f ca="1">IFERROR(__xludf.DUMMYFUNCTION("IMPORTRANGE(""https://docs.google.com/spreadsheets/d/1XL5vhW3sbDhbH9Cz0tuDiY8C3ctxq1tqvaCgkFb8cCA/edit?usp=sharing"",""นครราชสีมา!M428"")"),26450)</f>
        <v>26450</v>
      </c>
      <c r="O533" s="412">
        <f t="shared" ref="O533:O537" ca="1" si="118">+IF(L533&gt;0,N533*100/L533,0)</f>
        <v>73.390677025527197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IFERROR(__xludf.DUMMYFUNCTION("IMPORTRANGE(""https://docs.google.com/spreadsheets/d/1XL5vhW3sbDhbH9Cz0tuDiY8C3ctxq1tqvaCgkFb8cCA/edit?usp=sharing"",""นครราชสีมา!L429"")"),0)</f>
        <v>0</v>
      </c>
      <c r="M534" s="164"/>
      <c r="N534" s="169">
        <f ca="1">IFERROR(__xludf.DUMMYFUNCTION("IMPORTRANGE(""https://docs.google.com/spreadsheets/d/1XL5vhW3sbDhbH9Cz0tuDiY8C3ctxq1tqvaCgkFb8cCA/edit?usp=sharing"",""นครราชสีมา!M429"")"),0)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IFERROR(__xludf.DUMMYFUNCTION("IMPORTRANGE(""https://docs.google.com/spreadsheets/d/1XL5vhW3sbDhbH9Cz0tuDiY8C3ctxq1tqvaCgkFb8cCA/edit?usp=sharing"",""นครราชสีมา!L430"")"),36040)</f>
        <v>36040</v>
      </c>
      <c r="M535" s="165"/>
      <c r="N535" s="169">
        <f ca="1">IFERROR(__xludf.DUMMYFUNCTION("IMPORTRANGE(""https://docs.google.com/spreadsheets/d/1XL5vhW3sbDhbH9Cz0tuDiY8C3ctxq1tqvaCgkFb8cCA/edit?usp=sharing"",""นครราชสีมา!M430"")"),26450)</f>
        <v>26450</v>
      </c>
      <c r="O535" s="169">
        <f t="shared" ca="1" si="118"/>
        <v>73.390677025527197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IFERROR(__xludf.DUMMYFUNCTION("IMPORTRANGE(""https://docs.google.com/spreadsheets/d/1XL5vhW3sbDhbH9Cz0tuDiY8C3ctxq1tqvaCgkFb8cCA/edit?usp=sharing"",""นครราชสีมา!L431"")"),0)</f>
        <v>0</v>
      </c>
      <c r="M536" s="169"/>
      <c r="N536" s="169">
        <f ca="1">IFERROR(__xludf.DUMMYFUNCTION("IMPORTRANGE(""https://docs.google.com/spreadsheets/d/1XL5vhW3sbDhbH9Cz0tuDiY8C3ctxq1tqvaCgkFb8cCA/edit?usp=sharing"",""นครราชสีมา!M431"")"),0)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IFERROR(__xludf.DUMMYFUNCTION("IMPORTRANGE(""https://docs.google.com/spreadsheets/d/1XL5vhW3sbDhbH9Cz0tuDiY8C3ctxq1tqvaCgkFb8cCA/edit?usp=sharing"",""นครราชสีมา!L432"")"),36040)</f>
        <v>36040</v>
      </c>
      <c r="M537" s="169"/>
      <c r="N537" s="169">
        <f ca="1">IFERROR(__xludf.DUMMYFUNCTION("IMPORTRANGE(""https://docs.google.com/spreadsheets/d/1XL5vhW3sbDhbH9Cz0tuDiY8C3ctxq1tqvaCgkFb8cCA/edit?usp=sharing"",""นครราชสีมา!M432"")"),26450)</f>
        <v>26450</v>
      </c>
      <c r="O537" s="169">
        <f t="shared" ca="1" si="118"/>
        <v>73.390677025527197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IFERROR(__xludf.DUMMYFUNCTION("IMPORTRANGE(""https://docs.google.com/spreadsheets/d/1XL5vhW3sbDhbH9Cz0tuDiY8C3ctxq1tqvaCgkFb8cCA/edit?usp=sharing"",""นครราชสีมา!M433"")"),23600)</f>
        <v>23600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IFERROR(__xludf.DUMMYFUNCTION("IMPORTRANGE(""https://docs.google.com/spreadsheets/d/1XL5vhW3sbDhbH9Cz0tuDiY8C3ctxq1tqvaCgkFb8cCA/edit?usp=sharing"",""นครราชสีมา!M434"")"),0)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IFERROR(__xludf.DUMMYFUNCTION("IMPORTRANGE(""https://docs.google.com/spreadsheets/d/1XL5vhW3sbDhbH9Cz0tuDiY8C3ctxq1tqvaCgkFb8cCA/edit?usp=sharing"",""นครราชสีมา!M435"")"),0)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IFERROR(__xludf.DUMMYFUNCTION("IMPORTRANGE(""https://docs.google.com/spreadsheets/d/1XL5vhW3sbDhbH9Cz0tuDiY8C3ctxq1tqvaCgkFb8cCA/edit?usp=sharing"",""นครราชสีมา!M436"")"),2850)</f>
        <v>2850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IFERROR(__xludf.DUMMYFUNCTION("IMPORTRANGE(""https://docs.google.com/spreadsheets/d/1XL5vhW3sbDhbH9Cz0tuDiY8C3ctxq1tqvaCgkFb8cCA/edit?usp=sharing"",""นครราชสีมา!J438"")"),0)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IFERROR(__xludf.DUMMYFUNCTION("IMPORTRANGE(""https://docs.google.com/spreadsheets/d/1XL5vhW3sbDhbH9Cz0tuDiY8C3ctxq1tqvaCgkFb8cCA/edit?usp=sharing"",""นครราชสีมา!J439"")"),1)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IFERROR(__xludf.DUMMYFUNCTION("IMPORTRANGE(""https://docs.google.com/spreadsheets/d/1XL5vhW3sbDhbH9Cz0tuDiY8C3ctxq1tqvaCgkFb8cCA/edit?usp=sharing"",""นครราชสีมา!J440"")"),1)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IFERROR(__xludf.DUMMYFUNCTION("IMPORTRANGE(""https://docs.google.com/spreadsheets/d/1XL5vhW3sbDhbH9Cz0tuDiY8C3ctxq1tqvaCgkFb8cCA/edit?usp=sharing"",""นครราชสีมา!J441"")"),1)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IFERROR(__xludf.DUMMYFUNCTION("IMPORTRANGE(""https://docs.google.com/spreadsheets/d/1XL5vhW3sbDhbH9Cz0tuDiY8C3ctxq1tqvaCgkFb8cCA/edit?usp=sharing"",""นครราชสีมา!I442"")"),24)</f>
        <v>24</v>
      </c>
      <c r="J547" s="189">
        <f ca="1">IFERROR(__xludf.DUMMYFUNCTION("IMPORTRANGE(""https://docs.google.com/spreadsheets/d/1XL5vhW3sbDhbH9Cz0tuDiY8C3ctxq1tqvaCgkFb8cCA/edit?usp=sharing"",""นครราชสีมา!J442"")"),24)</f>
        <v>24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IFERROR(__xludf.DUMMYFUNCTION("IMPORTRANGE(""https://docs.google.com/spreadsheets/d/1XL5vhW3sbDhbH9Cz0tuDiY8C3ctxq1tqvaCgkFb8cCA/edit?usp=sharing"",""นครราชสีมา!J166"")"),0)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IFERROR(__xludf.DUMMYFUNCTION("IMPORTRANGE(""https://docs.google.com/spreadsheets/d/1XL5vhW3sbDhbH9Cz0tuDiY8C3ctxq1tqvaCgkFb8cCA/edit?usp=sharing"",""นครราชสีมา!J444"")"),0)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IFERROR(__xludf.DUMMYFUNCTION("IMPORTRANGE(""https://docs.google.com/spreadsheets/d/1XL5vhW3sbDhbH9Cz0tuDiY8C3ctxq1tqvaCgkFb8cCA/edit?usp=sharing"",""นครราชสีมา!J445"")"),0)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IFERROR(__xludf.DUMMYFUNCTION("IMPORTRANGE(""https://docs.google.com/spreadsheets/d/1XL5vhW3sbDhbH9Cz0tuDiY8C3ctxq1tqvaCgkFb8cCA/edit?usp=sharing"",""นครราชสีมา!I446"")"),5000)</f>
        <v>5000</v>
      </c>
      <c r="J551" s="410">
        <f ca="1">IFERROR(__xludf.DUMMYFUNCTION("IMPORTRANGE(""https://docs.google.com/spreadsheets/d/1XL5vhW3sbDhbH9Cz0tuDiY8C3ctxq1tqvaCgkFb8cCA/edit?usp=sharing"",""นครราชสีมา!J446"")"),1449)</f>
        <v>1449</v>
      </c>
      <c r="K551" s="411">
        <f ca="1">IF(I551&gt;0,J551*100/I551,0)</f>
        <v>28.98</v>
      </c>
      <c r="L551" s="412">
        <f ca="1">IFERROR(__xludf.DUMMYFUNCTION("IMPORTRANGE(""https://docs.google.com/spreadsheets/d/1XL5vhW3sbDhbH9Cz0tuDiY8C3ctxq1tqvaCgkFb8cCA/edit?usp=sharing"",""นครราชสีมา!L446"")"),320000)</f>
        <v>320000</v>
      </c>
      <c r="M551" s="412"/>
      <c r="N551" s="412">
        <f ca="1">IFERROR(__xludf.DUMMYFUNCTION("IMPORTRANGE(""https://docs.google.com/spreadsheets/d/1XL5vhW3sbDhbH9Cz0tuDiY8C3ctxq1tqvaCgkFb8cCA/edit?usp=sharing"",""นครราชสีมา!M446"")"),243060.2)</f>
        <v>243060.2</v>
      </c>
      <c r="O551" s="412">
        <f t="shared" ref="O551:O555" ca="1" si="120">+IF(L551&gt;0,N551*100/L551,0)</f>
        <v>75.956312499999996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IFERROR(__xludf.DUMMYFUNCTION("IMPORTRANGE(""https://docs.google.com/spreadsheets/d/1XL5vhW3sbDhbH9Cz0tuDiY8C3ctxq1tqvaCgkFb8cCA/edit?usp=sharing"",""นครราชสีมา!L447"")"),0)</f>
        <v>0</v>
      </c>
      <c r="M552" s="164"/>
      <c r="N552" s="169">
        <f ca="1">IFERROR(__xludf.DUMMYFUNCTION("IMPORTRANGE(""https://docs.google.com/spreadsheets/d/1XL5vhW3sbDhbH9Cz0tuDiY8C3ctxq1tqvaCgkFb8cCA/edit?usp=sharing"",""นครราชสีมา!M447"")"),0)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IFERROR(__xludf.DUMMYFUNCTION("IMPORTRANGE(""https://docs.google.com/spreadsheets/d/1XL5vhW3sbDhbH9Cz0tuDiY8C3ctxq1tqvaCgkFb8cCA/edit?usp=sharing"",""นครราชสีมา!L448"")"),320000)</f>
        <v>320000</v>
      </c>
      <c r="M553" s="165"/>
      <c r="N553" s="169">
        <f ca="1">IFERROR(__xludf.DUMMYFUNCTION("IMPORTRANGE(""https://docs.google.com/spreadsheets/d/1XL5vhW3sbDhbH9Cz0tuDiY8C3ctxq1tqvaCgkFb8cCA/edit?usp=sharing"",""นครราชสีมา!M448"")"),243060.2)</f>
        <v>243060.2</v>
      </c>
      <c r="O553" s="169">
        <f t="shared" ca="1" si="120"/>
        <v>75.956312499999996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IFERROR(__xludf.DUMMYFUNCTION("IMPORTRANGE(""https://docs.google.com/spreadsheets/d/1XL5vhW3sbDhbH9Cz0tuDiY8C3ctxq1tqvaCgkFb8cCA/edit?usp=sharing"",""นครราชสีมา!L449"")"),0)</f>
        <v>0</v>
      </c>
      <c r="M554" s="169"/>
      <c r="N554" s="169">
        <f ca="1">IFERROR(__xludf.DUMMYFUNCTION("IMPORTRANGE(""https://docs.google.com/spreadsheets/d/1XL5vhW3sbDhbH9Cz0tuDiY8C3ctxq1tqvaCgkFb8cCA/edit?usp=sharing"",""นครราชสีมา!M449"")"),0)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IFERROR(__xludf.DUMMYFUNCTION("IMPORTRANGE(""https://docs.google.com/spreadsheets/d/1XL5vhW3sbDhbH9Cz0tuDiY8C3ctxq1tqvaCgkFb8cCA/edit?usp=sharing"",""นครราชสีมา!L450"")"),320000)</f>
        <v>320000</v>
      </c>
      <c r="M555" s="169"/>
      <c r="N555" s="169">
        <f ca="1">IFERROR(__xludf.DUMMYFUNCTION("IMPORTRANGE(""https://docs.google.com/spreadsheets/d/1XL5vhW3sbDhbH9Cz0tuDiY8C3ctxq1tqvaCgkFb8cCA/edit?usp=sharing"",""นครราชสีมา!M450"")"),243060.2)</f>
        <v>243060.2</v>
      </c>
      <c r="O555" s="169">
        <f t="shared" ca="1" si="120"/>
        <v>75.956312499999996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IFERROR(__xludf.DUMMYFUNCTION("IMPORTRANGE(""https://docs.google.com/spreadsheets/d/1XL5vhW3sbDhbH9Cz0tuDiY8C3ctxq1tqvaCgkFb8cCA/edit?usp=sharing"",""นครราชสีมา!M451"")"),0)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IFERROR(__xludf.DUMMYFUNCTION("IMPORTRANGE(""https://docs.google.com/spreadsheets/d/1XL5vhW3sbDhbH9Cz0tuDiY8C3ctxq1tqvaCgkFb8cCA/edit?usp=sharing"",""นครราชสีมา!M452"")"),0)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IFERROR(__xludf.DUMMYFUNCTION("IMPORTRANGE(""https://docs.google.com/spreadsheets/d/1XL5vhW3sbDhbH9Cz0tuDiY8C3ctxq1tqvaCgkFb8cCA/edit?usp=sharing"",""นครราชสีมา!M453"")"),0)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IFERROR(__xludf.DUMMYFUNCTION("IMPORTRANGE(""https://docs.google.com/spreadsheets/d/1XL5vhW3sbDhbH9Cz0tuDiY8C3ctxq1tqvaCgkFb8cCA/edit?usp=sharing"",""นครราชสีมา!M454"")"),243060.2)</f>
        <v>243060.2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IFERROR(__xludf.DUMMYFUNCTION("IMPORTRANGE(""https://docs.google.com/spreadsheets/d/1XL5vhW3sbDhbH9Cz0tuDiY8C3ctxq1tqvaCgkFb8cCA/edit?usp=sharing"",""นครราชสีมา!I455"")"),5000)</f>
        <v>5000</v>
      </c>
      <c r="J560" s="162">
        <f ca="1">IFERROR(__xludf.DUMMYFUNCTION("IMPORTRANGE(""https://docs.google.com/spreadsheets/d/1XL5vhW3sbDhbH9Cz0tuDiY8C3ctxq1tqvaCgkFb8cCA/edit?usp=sharing"",""นครราชสีมา!J455"")"),1449)</f>
        <v>1449</v>
      </c>
      <c r="K560" s="224">
        <f t="shared" ref="K560:K561" ca="1" si="121">IF(I560&gt;0,J560*100/I560,0)</f>
        <v>28.98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IFERROR(__xludf.DUMMYFUNCTION("IMPORTRANGE(""https://docs.google.com/spreadsheets/d/1XL5vhW3sbDhbH9Cz0tuDiY8C3ctxq1tqvaCgkFb8cCA/edit?usp=sharing"",""นครราชสีมา!I456"")"),0)</f>
        <v>0</v>
      </c>
      <c r="J561" s="204">
        <f ca="1">IFERROR(__xludf.DUMMYFUNCTION("IMPORTRANGE(""https://docs.google.com/spreadsheets/d/1XL5vhW3sbDhbH9Cz0tuDiY8C3ctxq1tqvaCgkFb8cCA/edit?usp=sharing"",""นครราชสีมา!J456"")"),74)</f>
        <v>74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IFERROR(__xludf.DUMMYFUNCTION("IMPORTRANGE(""https://docs.google.com/spreadsheets/d/1XL5vhW3sbDhbH9Cz0tuDiY8C3ctxq1tqvaCgkFb8cCA/edit?usp=sharing"",""นครราชสีมา!I459"")"),9000)</f>
        <v>9000</v>
      </c>
      <c r="J564" s="371">
        <f ca="1">IFERROR(__xludf.DUMMYFUNCTION("IMPORTRANGE(""https://docs.google.com/spreadsheets/d/1XL5vhW3sbDhbH9Cz0tuDiY8C3ctxq1tqvaCgkFb8cCA/edit?usp=sharing"",""นครราชสีมา!J459"")"),12464)</f>
        <v>12464</v>
      </c>
      <c r="K564" s="372">
        <f ca="1">IF(I564&gt;0,J564*100/I564,0)</f>
        <v>138.48888888888888</v>
      </c>
      <c r="L564" s="373">
        <f ca="1">IFERROR(__xludf.DUMMYFUNCTION("IMPORTRANGE(""https://docs.google.com/spreadsheets/d/1XL5vhW3sbDhbH9Cz0tuDiY8C3ctxq1tqvaCgkFb8cCA/edit?usp=sharing"",""นครราชสีมา!L459"")"),211200)</f>
        <v>211200</v>
      </c>
      <c r="M564" s="373"/>
      <c r="N564" s="373">
        <f ca="1">IFERROR(__xludf.DUMMYFUNCTION("IMPORTRANGE(""https://docs.google.com/spreadsheets/d/1XL5vhW3sbDhbH9Cz0tuDiY8C3ctxq1tqvaCgkFb8cCA/edit?usp=sharing"",""นครราชสีมา!M459"")"),148074.08)</f>
        <v>148074.07999999999</v>
      </c>
      <c r="O564" s="373">
        <f t="shared" ref="O564:O568" ca="1" si="122">+IF(L564&gt;0,N564*100/L564,0)</f>
        <v>70.110833333333318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IFERROR(__xludf.DUMMYFUNCTION("IMPORTRANGE(""https://docs.google.com/spreadsheets/d/1XL5vhW3sbDhbH9Cz0tuDiY8C3ctxq1tqvaCgkFb8cCA/edit?usp=sharing"",""นครราชสีมา!L460"")"),0)</f>
        <v>0</v>
      </c>
      <c r="M565" s="164"/>
      <c r="N565" s="169">
        <f ca="1">IFERROR(__xludf.DUMMYFUNCTION("IMPORTRANGE(""https://docs.google.com/spreadsheets/d/1XL5vhW3sbDhbH9Cz0tuDiY8C3ctxq1tqvaCgkFb8cCA/edit?usp=sharing"",""นครราชสีมา!M460"")"),0)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IFERROR(__xludf.DUMMYFUNCTION("IMPORTRANGE(""https://docs.google.com/spreadsheets/d/1XL5vhW3sbDhbH9Cz0tuDiY8C3ctxq1tqvaCgkFb8cCA/edit?usp=sharing"",""นครราชสีมา!L461"")"),211200)</f>
        <v>211200</v>
      </c>
      <c r="M566" s="165"/>
      <c r="N566" s="169">
        <f ca="1">IFERROR(__xludf.DUMMYFUNCTION("IMPORTRANGE(""https://docs.google.com/spreadsheets/d/1XL5vhW3sbDhbH9Cz0tuDiY8C3ctxq1tqvaCgkFb8cCA/edit?usp=sharing"",""นครราชสีมา!M461"")"),148074.08)</f>
        <v>148074.07999999999</v>
      </c>
      <c r="O566" s="169">
        <f t="shared" ca="1" si="122"/>
        <v>70.110833333333318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IFERROR(__xludf.DUMMYFUNCTION("IMPORTRANGE(""https://docs.google.com/spreadsheets/d/1XL5vhW3sbDhbH9Cz0tuDiY8C3ctxq1tqvaCgkFb8cCA/edit?usp=sharing"",""นครราชสีมา!L462"")"),0)</f>
        <v>0</v>
      </c>
      <c r="M567" s="169"/>
      <c r="N567" s="169">
        <f ca="1">IFERROR(__xludf.DUMMYFUNCTION("IMPORTRANGE(""https://docs.google.com/spreadsheets/d/1XL5vhW3sbDhbH9Cz0tuDiY8C3ctxq1tqvaCgkFb8cCA/edit?usp=sharing"",""นครราชสีมา!M462"")"),0)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IFERROR(__xludf.DUMMYFUNCTION("IMPORTRANGE(""https://docs.google.com/spreadsheets/d/1XL5vhW3sbDhbH9Cz0tuDiY8C3ctxq1tqvaCgkFb8cCA/edit?usp=sharing"",""นครราชสีมา!L463"")"),211200)</f>
        <v>211200</v>
      </c>
      <c r="M568" s="169"/>
      <c r="N568" s="169">
        <f ca="1">IFERROR(__xludf.DUMMYFUNCTION("IMPORTRANGE(""https://docs.google.com/spreadsheets/d/1XL5vhW3sbDhbH9Cz0tuDiY8C3ctxq1tqvaCgkFb8cCA/edit?usp=sharing"",""นครราชสีมา!M463"")"),148074.08)</f>
        <v>148074.07999999999</v>
      </c>
      <c r="O568" s="169">
        <f t="shared" ca="1" si="122"/>
        <v>70.110833333333318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IFERROR(__xludf.DUMMYFUNCTION("IMPORTRANGE(""https://docs.google.com/spreadsheets/d/1XL5vhW3sbDhbH9Cz0tuDiY8C3ctxq1tqvaCgkFb8cCA/edit?usp=sharing"",""นครราชสีมา!M464"")"),0)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IFERROR(__xludf.DUMMYFUNCTION("IMPORTRANGE(""https://docs.google.com/spreadsheets/d/1XL5vhW3sbDhbH9Cz0tuDiY8C3ctxq1tqvaCgkFb8cCA/edit?usp=sharing"",""นครราชสีมา!M465"")"),0)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IFERROR(__xludf.DUMMYFUNCTION("IMPORTRANGE(""https://docs.google.com/spreadsheets/d/1XL5vhW3sbDhbH9Cz0tuDiY8C3ctxq1tqvaCgkFb8cCA/edit?usp=sharing"",""นครราชสีมา!M466"")"),52800.08)</f>
        <v>52800.08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IFERROR(__xludf.DUMMYFUNCTION("IMPORTRANGE(""https://docs.google.com/spreadsheets/d/1XL5vhW3sbDhbH9Cz0tuDiY8C3ctxq1tqvaCgkFb8cCA/edit?usp=sharing"",""นครราชสีมา!M467"")"),95274)</f>
        <v>95274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IFERROR(__xludf.DUMMYFUNCTION("IMPORTRANGE(""https://docs.google.com/spreadsheets/d/1XL5vhW3sbDhbH9Cz0tuDiY8C3ctxq1tqvaCgkFb8cCA/edit?usp=sharing"",""นครราชสีมา!I468"")"),9000)</f>
        <v>9000</v>
      </c>
      <c r="J573" s="420">
        <f ca="1">IFERROR(__xludf.DUMMYFUNCTION("IMPORTRANGE(""https://docs.google.com/spreadsheets/d/1XL5vhW3sbDhbH9Cz0tuDiY8C3ctxq1tqvaCgkFb8cCA/edit?usp=sharing"",""นครราชสีมา!J468"")"),12464)</f>
        <v>12464</v>
      </c>
      <c r="K573" s="202">
        <f ca="1">IF(I573&gt;0,J573*100/I573,0)</f>
        <v>138.48888888888888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IFERROR(__xludf.DUMMYFUNCTION("IMPORTRANGE(""https://docs.google.com/spreadsheets/d/1XL5vhW3sbDhbH9Cz0tuDiY8C3ctxq1tqvaCgkFb8cCA/edit?usp=sharing"",""นครราชสีมา!I470"")"),0)</f>
        <v>0</v>
      </c>
      <c r="J575" s="198">
        <f ca="1">IFERROR(__xludf.DUMMYFUNCTION("IMPORTRANGE(""https://docs.google.com/spreadsheets/d/1XL5vhW3sbDhbH9Cz0tuDiY8C3ctxq1tqvaCgkFb8cCA/edit?usp=sharing"",""นครราชสีมา!J470"")"),7)</f>
        <v>7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IFERROR(__xludf.DUMMYFUNCTION("IMPORTRANGE(""https://docs.google.com/spreadsheets/d/1XL5vhW3sbDhbH9Cz0tuDiY8C3ctxq1tqvaCgkFb8cCA/edit?usp=sharing"",""นครราชสีมา!I471"")"),0)</f>
        <v>0</v>
      </c>
      <c r="J576" s="198">
        <f ca="1">IFERROR(__xludf.DUMMYFUNCTION("IMPORTRANGE(""https://docs.google.com/spreadsheets/d/1XL5vhW3sbDhbH9Cz0tuDiY8C3ctxq1tqvaCgkFb8cCA/edit?usp=sharing"",""นครราชสีมา!J471"")"),1170)</f>
        <v>1170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IFERROR(__xludf.DUMMYFUNCTION("IMPORTRANGE(""https://docs.google.com/spreadsheets/d/1XL5vhW3sbDhbH9Cz0tuDiY8C3ctxq1tqvaCgkFb8cCA/edit?usp=sharing"",""นครราชสีมา!I472"")"),0)</f>
        <v>0</v>
      </c>
      <c r="J577" s="189">
        <f ca="1">IFERROR(__xludf.DUMMYFUNCTION("IMPORTRANGE(""https://docs.google.com/spreadsheets/d/1XL5vhW3sbDhbH9Cz0tuDiY8C3ctxq1tqvaCgkFb8cCA/edit?usp=sharing"",""นครราชสีมา!J472"")"),11292)</f>
        <v>11292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IFERROR(__xludf.DUMMYFUNCTION("IMPORTRANGE(""https://docs.google.com/spreadsheets/d/1XL5vhW3sbDhbH9Cz0tuDiY8C3ctxq1tqvaCgkFb8cCA/edit?usp=sharing"",""นครราชสีมา!I473"")"),0)</f>
        <v>0</v>
      </c>
      <c r="J578" s="198">
        <f ca="1">IFERROR(__xludf.DUMMYFUNCTION("IMPORTRANGE(""https://docs.google.com/spreadsheets/d/1XL5vhW3sbDhbH9Cz0tuDiY8C3ctxq1tqvaCgkFb8cCA/edit?usp=sharing"",""นครราชสีมา!J473"")"),2)</f>
        <v>2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IFERROR(__xludf.DUMMYFUNCTION("IMPORTRANGE(""https://docs.google.com/spreadsheets/d/1XL5vhW3sbDhbH9Cz0tuDiY8C3ctxq1tqvaCgkFb8cCA/edit?usp=sharing"",""นครราชสีมา!I474"")"),0)</f>
        <v>0</v>
      </c>
      <c r="J579" s="198">
        <f ca="1">IFERROR(__xludf.DUMMYFUNCTION("IMPORTRANGE(""https://docs.google.com/spreadsheets/d/1XL5vhW3sbDhbH9Cz0tuDiY8C3ctxq1tqvaCgkFb8cCA/edit?usp=sharing"",""นครราชสีมา!J474"")"),0)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IFERROR(__xludf.DUMMYFUNCTION("IMPORTRANGE(""https://docs.google.com/spreadsheets/d/1XL5vhW3sbDhbH9Cz0tuDiY8C3ctxq1tqvaCgkFb8cCA/edit?usp=sharing"",""นครราชสีมา!I475"")"),2000)</f>
        <v>2000</v>
      </c>
      <c r="J580" s="371">
        <f ca="1">IFERROR(__xludf.DUMMYFUNCTION("IMPORTRANGE(""https://docs.google.com/spreadsheets/d/1XL5vhW3sbDhbH9Cz0tuDiY8C3ctxq1tqvaCgkFb8cCA/edit?usp=sharing"",""นครราชสีมา!J475"")"),37)</f>
        <v>37</v>
      </c>
      <c r="K580" s="372">
        <f ca="1">IF(I580&gt;0,J580*100/I580,0)</f>
        <v>1.85</v>
      </c>
      <c r="L580" s="373">
        <f ca="1">IFERROR(__xludf.DUMMYFUNCTION("IMPORTRANGE(""https://docs.google.com/spreadsheets/d/1XL5vhW3sbDhbH9Cz0tuDiY8C3ctxq1tqvaCgkFb8cCA/edit?usp=sharing"",""นครราชสีมา!L475"")"),1144600)</f>
        <v>1144600</v>
      </c>
      <c r="M580" s="373"/>
      <c r="N580" s="373">
        <f ca="1">IFERROR(__xludf.DUMMYFUNCTION("IMPORTRANGE(""https://docs.google.com/spreadsheets/d/1XL5vhW3sbDhbH9Cz0tuDiY8C3ctxq1tqvaCgkFb8cCA/edit?usp=sharing"",""นครราชสีมา!M475"")"),631863.01)</f>
        <v>631863.01</v>
      </c>
      <c r="O580" s="373">
        <f t="shared" ref="O580:O584" ca="1" si="124">+IF(L580&gt;0,N580*100/L580,0)</f>
        <v>55.203827538004546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IFERROR(__xludf.DUMMYFUNCTION("IMPORTRANGE(""https://docs.google.com/spreadsheets/d/1XL5vhW3sbDhbH9Cz0tuDiY8C3ctxq1tqvaCgkFb8cCA/edit?usp=sharing"",""นครราชสีมา!L476"")"),0)</f>
        <v>0</v>
      </c>
      <c r="M581" s="164"/>
      <c r="N581" s="169">
        <f ca="1">IFERROR(__xludf.DUMMYFUNCTION("IMPORTRANGE(""https://docs.google.com/spreadsheets/d/1XL5vhW3sbDhbH9Cz0tuDiY8C3ctxq1tqvaCgkFb8cCA/edit?usp=sharing"",""นครราชสีมา!M476"")"),0)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IFERROR(__xludf.DUMMYFUNCTION("IMPORTRANGE(""https://docs.google.com/spreadsheets/d/1XL5vhW3sbDhbH9Cz0tuDiY8C3ctxq1tqvaCgkFb8cCA/edit?usp=sharing"",""นครราชสีมา!L477"")"),1144600)</f>
        <v>1144600</v>
      </c>
      <c r="M582" s="165"/>
      <c r="N582" s="169">
        <f ca="1">IFERROR(__xludf.DUMMYFUNCTION("IMPORTRANGE(""https://docs.google.com/spreadsheets/d/1XL5vhW3sbDhbH9Cz0tuDiY8C3ctxq1tqvaCgkFb8cCA/edit?usp=sharing"",""นครราชสีมา!M477"")"),631863.01)</f>
        <v>631863.01</v>
      </c>
      <c r="O582" s="169">
        <f t="shared" ca="1" si="124"/>
        <v>55.203827538004546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IFERROR(__xludf.DUMMYFUNCTION("IMPORTRANGE(""https://docs.google.com/spreadsheets/d/1XL5vhW3sbDhbH9Cz0tuDiY8C3ctxq1tqvaCgkFb8cCA/edit?usp=sharing"",""นครราชสีมา!L478"")"),0)</f>
        <v>0</v>
      </c>
      <c r="M583" s="169"/>
      <c r="N583" s="169">
        <f ca="1">IFERROR(__xludf.DUMMYFUNCTION("IMPORTRANGE(""https://docs.google.com/spreadsheets/d/1XL5vhW3sbDhbH9Cz0tuDiY8C3ctxq1tqvaCgkFb8cCA/edit?usp=sharing"",""นครราชสีมา!M478"")"),0)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IFERROR(__xludf.DUMMYFUNCTION("IMPORTRANGE(""https://docs.google.com/spreadsheets/d/1XL5vhW3sbDhbH9Cz0tuDiY8C3ctxq1tqvaCgkFb8cCA/edit?usp=sharing"",""นครราชสีมา!L479"")"),1144600)</f>
        <v>1144600</v>
      </c>
      <c r="M584" s="169"/>
      <c r="N584" s="169">
        <f ca="1">IFERROR(__xludf.DUMMYFUNCTION("IMPORTRANGE(""https://docs.google.com/spreadsheets/d/1XL5vhW3sbDhbH9Cz0tuDiY8C3ctxq1tqvaCgkFb8cCA/edit?usp=sharing"",""นครราชสีมา!M479"")"),631863.01)</f>
        <v>631863.01</v>
      </c>
      <c r="O584" s="169">
        <f t="shared" ca="1" si="124"/>
        <v>55.203827538004546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IFERROR(__xludf.DUMMYFUNCTION("IMPORTRANGE(""https://docs.google.com/spreadsheets/d/1XL5vhW3sbDhbH9Cz0tuDiY8C3ctxq1tqvaCgkFb8cCA/edit?usp=sharing"",""นครราชสีมา!M480"")"),0)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IFERROR(__xludf.DUMMYFUNCTION("IMPORTRANGE(""https://docs.google.com/spreadsheets/d/1XL5vhW3sbDhbH9Cz0tuDiY8C3ctxq1tqvaCgkFb8cCA/edit?usp=sharing"",""นครราชสีมา!M481"")"),0)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IFERROR(__xludf.DUMMYFUNCTION("IMPORTRANGE(""https://docs.google.com/spreadsheets/d/1XL5vhW3sbDhbH9Cz0tuDiY8C3ctxq1tqvaCgkFb8cCA/edit?usp=sharing"",""นครราชสีมา!M482"")"),159133.58)</f>
        <v>159133.57999999999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IFERROR(__xludf.DUMMYFUNCTION("IMPORTRANGE(""https://docs.google.com/spreadsheets/d/1XL5vhW3sbDhbH9Cz0tuDiY8C3ctxq1tqvaCgkFb8cCA/edit?usp=sharing"",""นครราชสีมา!M483"")"),472729.43)</f>
        <v>472729.43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IFERROR(__xludf.DUMMYFUNCTION("IMPORTRANGE(""https://docs.google.com/spreadsheets/d/1XL5vhW3sbDhbH9Cz0tuDiY8C3ctxq1tqvaCgkFb8cCA/edit?usp=sharing"",""นครราชสีมา!I484"")"),2000)</f>
        <v>2000</v>
      </c>
      <c r="J589" s="188">
        <f ca="1">IFERROR(__xludf.DUMMYFUNCTION("IMPORTRANGE(""https://docs.google.com/spreadsheets/d/1XL5vhW3sbDhbH9Cz0tuDiY8C3ctxq1tqvaCgkFb8cCA/edit?usp=sharing"",""นครราชสีมา!J484"")"),889)</f>
        <v>889</v>
      </c>
      <c r="K589" s="163">
        <f t="shared" ref="K589:K596" ca="1" si="125">IF(I589&gt;0,J589*100/I589,0)</f>
        <v>44.45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IFERROR(__xludf.DUMMYFUNCTION("IMPORTRANGE(""https://docs.google.com/spreadsheets/d/1XL5vhW3sbDhbH9Cz0tuDiY8C3ctxq1tqvaCgkFb8cCA/edit?usp=sharing"",""นครราชสีมา!I485"")"),0)</f>
        <v>0</v>
      </c>
      <c r="J590" s="188">
        <f ca="1">IFERROR(__xludf.DUMMYFUNCTION("IMPORTRANGE(""https://docs.google.com/spreadsheets/d/1XL5vhW3sbDhbH9Cz0tuDiY8C3ctxq1tqvaCgkFb8cCA/edit?usp=sharing"",""นครราชสีมา!J485"")"),496.1)</f>
        <v>496.1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IFERROR(__xludf.DUMMYFUNCTION("IMPORTRANGE(""https://docs.google.com/spreadsheets/d/1XL5vhW3sbDhbH9Cz0tuDiY8C3ctxq1tqvaCgkFb8cCA/edit?usp=sharing"",""นครราชสีมา!I486"")"),2000)</f>
        <v>2000</v>
      </c>
      <c r="J591" s="188">
        <f ca="1">IFERROR(__xludf.DUMMYFUNCTION("IMPORTRANGE(""https://docs.google.com/spreadsheets/d/1XL5vhW3sbDhbH9Cz0tuDiY8C3ctxq1tqvaCgkFb8cCA/edit?usp=sharing"",""นครราชสีมา!J486"")"),634)</f>
        <v>634</v>
      </c>
      <c r="K591" s="163">
        <f t="shared" ca="1" si="125"/>
        <v>31.7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IFERROR(__xludf.DUMMYFUNCTION("IMPORTRANGE(""https://docs.google.com/spreadsheets/d/1XL5vhW3sbDhbH9Cz0tuDiY8C3ctxq1tqvaCgkFb8cCA/edit?usp=sharing"",""นครราชสีมา!I487"")"),0)</f>
        <v>0</v>
      </c>
      <c r="J592" s="188">
        <f ca="1">IFERROR(__xludf.DUMMYFUNCTION("IMPORTRANGE(""https://docs.google.com/spreadsheets/d/1XL5vhW3sbDhbH9Cz0tuDiY8C3ctxq1tqvaCgkFb8cCA/edit?usp=sharing"",""นครราชสีมา!J487"")"),372.72)</f>
        <v>372.72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IFERROR(__xludf.DUMMYFUNCTION("IMPORTRANGE(""https://docs.google.com/spreadsheets/d/1XL5vhW3sbDhbH9Cz0tuDiY8C3ctxq1tqvaCgkFb8cCA/edit?usp=sharing"",""นครราชสีมา!I488"")"),2000)</f>
        <v>2000</v>
      </c>
      <c r="J593" s="188">
        <f ca="1">IFERROR(__xludf.DUMMYFUNCTION("IMPORTRANGE(""https://docs.google.com/spreadsheets/d/1XL5vhW3sbDhbH9Cz0tuDiY8C3ctxq1tqvaCgkFb8cCA/edit?usp=sharing"",""นครราชสีมา!J488"")"),0)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IFERROR(__xludf.DUMMYFUNCTION("IMPORTRANGE(""https://docs.google.com/spreadsheets/d/1XL5vhW3sbDhbH9Cz0tuDiY8C3ctxq1tqvaCgkFb8cCA/edit?usp=sharing"",""นครราชสีมา!I489"")"),0)</f>
        <v>0</v>
      </c>
      <c r="J594" s="188">
        <f ca="1">IFERROR(__xludf.DUMMYFUNCTION("IMPORTRANGE(""https://docs.google.com/spreadsheets/d/1XL5vhW3sbDhbH9Cz0tuDiY8C3ctxq1tqvaCgkFb8cCA/edit?usp=sharing"",""นครราชสีมา!J489"")"),0)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IFERROR(__xludf.DUMMYFUNCTION("IMPORTRANGE(""https://docs.google.com/spreadsheets/d/1XL5vhW3sbDhbH9Cz0tuDiY8C3ctxq1tqvaCgkFb8cCA/edit?usp=sharing"",""นครราชสีมา!I490"")"),2000)</f>
        <v>2000</v>
      </c>
      <c r="J595" s="188">
        <f ca="1">IFERROR(__xludf.DUMMYFUNCTION("IMPORTRANGE(""https://docs.google.com/spreadsheets/d/1XL5vhW3sbDhbH9Cz0tuDiY8C3ctxq1tqvaCgkFb8cCA/edit?usp=sharing"",""นครราชสีมา!J490"")"),37)</f>
        <v>37</v>
      </c>
      <c r="K595" s="163">
        <f t="shared" ca="1" si="125"/>
        <v>1.85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IFERROR(__xludf.DUMMYFUNCTION("IMPORTRANGE(""https://docs.google.com/spreadsheets/d/1XL5vhW3sbDhbH9Cz0tuDiY8C3ctxq1tqvaCgkFb8cCA/edit?usp=sharing"",""นครราชสีมา!I491"")"),0)</f>
        <v>0</v>
      </c>
      <c r="J596" s="241">
        <f ca="1">IFERROR(__xludf.DUMMYFUNCTION("IMPORTRANGE(""https://docs.google.com/spreadsheets/d/1XL5vhW3sbDhbH9Cz0tuDiY8C3ctxq1tqvaCgkFb8cCA/edit?usp=sharing"",""นครราชสีมา!J491"")"),26.11)</f>
        <v>26.11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IFERROR(__xludf.DUMMYFUNCTION("IMPORTRANGE(""https://docs.google.com/spreadsheets/d/1XL5vhW3sbDhbH9Cz0tuDiY8C3ctxq1tqvaCgkFb8cCA/edit?usp=sharing"",""นครราชสีมา!I492"")"),500)</f>
        <v>500</v>
      </c>
      <c r="J597" s="487">
        <f ca="1">IFERROR(__xludf.DUMMYFUNCTION("IMPORTRANGE(""https://docs.google.com/spreadsheets/d/1XL5vhW3sbDhbH9Cz0tuDiY8C3ctxq1tqvaCgkFb8cCA/edit?usp=sharing"",""นครราชสีมา!J492"")"),0)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IFERROR(__xludf.DUMMYFUNCTION("IMPORTRANGE(""https://docs.google.com/spreadsheets/d/1XL5vhW3sbDhbH9Cz0tuDiY8C3ctxq1tqvaCgkFb8cCA/edit?usp=sharing"",""นครราชสีมา!L492"")"),30900)</f>
        <v>30900</v>
      </c>
      <c r="M597" s="412"/>
      <c r="N597" s="412">
        <f ca="1">IFERROR(__xludf.DUMMYFUNCTION("IMPORTRANGE(""https://docs.google.com/spreadsheets/d/1XL5vhW3sbDhbH9Cz0tuDiY8C3ctxq1tqvaCgkFb8cCA/edit?usp=sharing"",""นครราชสีมา!M492"")"),3400)</f>
        <v>3400</v>
      </c>
      <c r="O597" s="412">
        <f t="shared" ref="O597:O601" ca="1" si="126">+IF(L597&gt;0,N597*100/L597,0)</f>
        <v>11.003236245954692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IFERROR(__xludf.DUMMYFUNCTION("IMPORTRANGE(""https://docs.google.com/spreadsheets/d/1XL5vhW3sbDhbH9Cz0tuDiY8C3ctxq1tqvaCgkFb8cCA/edit?usp=sharing"",""นครราชสีมา!L493"")"),0)</f>
        <v>0</v>
      </c>
      <c r="M598" s="164"/>
      <c r="N598" s="169">
        <f ca="1">IFERROR(__xludf.DUMMYFUNCTION("IMPORTRANGE(""https://docs.google.com/spreadsheets/d/1XL5vhW3sbDhbH9Cz0tuDiY8C3ctxq1tqvaCgkFb8cCA/edit?usp=sharing"",""นครราชสีมา!M493"")"),0)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IFERROR(__xludf.DUMMYFUNCTION("IMPORTRANGE(""https://docs.google.com/spreadsheets/d/1XL5vhW3sbDhbH9Cz0tuDiY8C3ctxq1tqvaCgkFb8cCA/edit?usp=sharing"",""นครราชสีมา!L494"")"),30900)</f>
        <v>30900</v>
      </c>
      <c r="M599" s="165"/>
      <c r="N599" s="169">
        <f ca="1">IFERROR(__xludf.DUMMYFUNCTION("IMPORTRANGE(""https://docs.google.com/spreadsheets/d/1XL5vhW3sbDhbH9Cz0tuDiY8C3ctxq1tqvaCgkFb8cCA/edit?usp=sharing"",""นครราชสีมา!M494"")"),3400)</f>
        <v>3400</v>
      </c>
      <c r="O599" s="169">
        <f t="shared" ca="1" si="126"/>
        <v>11.003236245954692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IFERROR(__xludf.DUMMYFUNCTION("IMPORTRANGE(""https://docs.google.com/spreadsheets/d/1XL5vhW3sbDhbH9Cz0tuDiY8C3ctxq1tqvaCgkFb8cCA/edit?usp=sharing"",""นครราชสีมา!L495"")"),0)</f>
        <v>0</v>
      </c>
      <c r="M600" s="169"/>
      <c r="N600" s="169">
        <f ca="1">IFERROR(__xludf.DUMMYFUNCTION("IMPORTRANGE(""https://docs.google.com/spreadsheets/d/1XL5vhW3sbDhbH9Cz0tuDiY8C3ctxq1tqvaCgkFb8cCA/edit?usp=sharing"",""นครราชสีมา!M495"")"),0)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IFERROR(__xludf.DUMMYFUNCTION("IMPORTRANGE(""https://docs.google.com/spreadsheets/d/1XL5vhW3sbDhbH9Cz0tuDiY8C3ctxq1tqvaCgkFb8cCA/edit?usp=sharing"",""นครราชสีมา!L496"")"),30900)</f>
        <v>30900</v>
      </c>
      <c r="M601" s="169"/>
      <c r="N601" s="169">
        <f ca="1">IFERROR(__xludf.DUMMYFUNCTION("IMPORTRANGE(""https://docs.google.com/spreadsheets/d/1XL5vhW3sbDhbH9Cz0tuDiY8C3ctxq1tqvaCgkFb8cCA/edit?usp=sharing"",""นครราชสีมา!M496"")"),3400)</f>
        <v>3400</v>
      </c>
      <c r="O601" s="169">
        <f t="shared" ca="1" si="126"/>
        <v>11.003236245954692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IFERROR(__xludf.DUMMYFUNCTION("IMPORTRANGE(""https://docs.google.com/spreadsheets/d/1XL5vhW3sbDhbH9Cz0tuDiY8C3ctxq1tqvaCgkFb8cCA/edit?usp=sharing"",""นครราชสีมา!M497"")"),0)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IFERROR(__xludf.DUMMYFUNCTION("IMPORTRANGE(""https://docs.google.com/spreadsheets/d/1XL5vhW3sbDhbH9Cz0tuDiY8C3ctxq1tqvaCgkFb8cCA/edit?usp=sharing"",""นครราชสีมา!M498"")"),0)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IFERROR(__xludf.DUMMYFUNCTION("IMPORTRANGE(""https://docs.google.com/spreadsheets/d/1XL5vhW3sbDhbH9Cz0tuDiY8C3ctxq1tqvaCgkFb8cCA/edit?usp=sharing"",""นครราชสีมา!M499"")"),0)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IFERROR(__xludf.DUMMYFUNCTION("IMPORTRANGE(""https://docs.google.com/spreadsheets/d/1XL5vhW3sbDhbH9Cz0tuDiY8C3ctxq1tqvaCgkFb8cCA/edit?usp=sharing"",""นครราชสีมา!M500"")"),3400)</f>
        <v>3400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IFERROR(__xludf.DUMMYFUNCTION("IMPORTRANGE(""https://docs.google.com/spreadsheets/d/1XL5vhW3sbDhbH9Cz0tuDiY8C3ctxq1tqvaCgkFb8cCA/edit?usp=sharing"",""นครราชสีมา!J502"")"),0)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IFERROR(__xludf.DUMMYFUNCTION("IMPORTRANGE(""https://docs.google.com/spreadsheets/d/1XL5vhW3sbDhbH9Cz0tuDiY8C3ctxq1tqvaCgkFb8cCA/edit?usp=sharing"",""นครราชสีมา!J503"")"),1)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IFERROR(__xludf.DUMMYFUNCTION("IMPORTRANGE(""https://docs.google.com/spreadsheets/d/1XL5vhW3sbDhbH9Cz0tuDiY8C3ctxq1tqvaCgkFb8cCA/edit?usp=sharing"",""นครราชสีมา!J166"")"),0)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IFERROR(__xludf.DUMMYFUNCTION("IMPORTRANGE(""https://docs.google.com/spreadsheets/d/1XL5vhW3sbDhbH9Cz0tuDiY8C3ctxq1tqvaCgkFb8cCA/edit?usp=sharing"",""นครราชสีมา!J166"")"),0)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IFERROR(__xludf.DUMMYFUNCTION("IMPORTRANGE(""https://docs.google.com/spreadsheets/d/1XL5vhW3sbDhbH9Cz0tuDiY8C3ctxq1tqvaCgkFb8cCA/edit?usp=sharing"",""นครราชสีมา!I506"")"),500)</f>
        <v>500</v>
      </c>
      <c r="J611" s="162">
        <f ca="1">IFERROR(__xludf.DUMMYFUNCTION("IMPORTRANGE(""https://docs.google.com/spreadsheets/d/1XL5vhW3sbDhbH9Cz0tuDiY8C3ctxq1tqvaCgkFb8cCA/edit?usp=sharing"",""นครราชสีมา!J506"")"),0)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IFERROR(__xludf.DUMMYFUNCTION("IMPORTRANGE(""https://docs.google.com/spreadsheets/d/1XL5vhW3sbDhbH9Cz0tuDiY8C3ctxq1tqvaCgkFb8cCA/edit?usp=sharing"",""นครราชสีมา!I507"")"),0)</f>
        <v>0</v>
      </c>
      <c r="J612" s="198">
        <f ca="1">IFERROR(__xludf.DUMMYFUNCTION("IMPORTRANGE(""https://docs.google.com/spreadsheets/d/1XL5vhW3sbDhbH9Cz0tuDiY8C3ctxq1tqvaCgkFb8cCA/edit?usp=sharing"",""นครราชสีมา!J507"")"),753)</f>
        <v>753</v>
      </c>
      <c r="K612" s="163">
        <f t="shared" ca="1" si="127"/>
        <v>150.6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IFERROR(__xludf.DUMMYFUNCTION("IMPORTRANGE(""https://docs.google.com/spreadsheets/d/1XL5vhW3sbDhbH9Cz0tuDiY8C3ctxq1tqvaCgkFb8cCA/edit?usp=sharing"",""นครราชสีมา!I508"")"),0)</f>
        <v>0</v>
      </c>
      <c r="J613" s="198">
        <f ca="1">IFERROR(__xludf.DUMMYFUNCTION("IMPORTRANGE(""https://docs.google.com/spreadsheets/d/1XL5vhW3sbDhbH9Cz0tuDiY8C3ctxq1tqvaCgkFb8cCA/edit?usp=sharing"",""นครราชสีมา!J508"")"),603)</f>
        <v>603</v>
      </c>
      <c r="K613" s="163">
        <f t="shared" ca="1" si="127"/>
        <v>120.6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IFERROR(__xludf.DUMMYFUNCTION("IMPORTRANGE(""https://docs.google.com/spreadsheets/d/1XL5vhW3sbDhbH9Cz0tuDiY8C3ctxq1tqvaCgkFb8cCA/edit?usp=sharing"",""นครราชสีมา!I509"")"),0)</f>
        <v>0</v>
      </c>
      <c r="J614" s="198">
        <f ca="1">IFERROR(__xludf.DUMMYFUNCTION("IMPORTRANGE(""https://docs.google.com/spreadsheets/d/1XL5vhW3sbDhbH9Cz0tuDiY8C3ctxq1tqvaCgkFb8cCA/edit?usp=sharing"",""นครราชสีมา!J509"")"),753)</f>
        <v>753</v>
      </c>
      <c r="K614" s="163">
        <f t="shared" ca="1" si="127"/>
        <v>150.6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IFERROR(__xludf.DUMMYFUNCTION("IMPORTRANGE(""https://docs.google.com/spreadsheets/d/1XL5vhW3sbDhbH9Cz0tuDiY8C3ctxq1tqvaCgkFb8cCA/edit?usp=sharing"",""นครราชสีมา!I510"")"),0)</f>
        <v>0</v>
      </c>
      <c r="J615" s="198">
        <f ca="1">IFERROR(__xludf.DUMMYFUNCTION("IMPORTRANGE(""https://docs.google.com/spreadsheets/d/1XL5vhW3sbDhbH9Cz0tuDiY8C3ctxq1tqvaCgkFb8cCA/edit?usp=sharing"",""นครราชสีมา!J510"")"),0)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IFERROR(__xludf.DUMMYFUNCTION("IMPORTRANGE(""https://docs.google.com/spreadsheets/d/1XL5vhW3sbDhbH9Cz0tuDiY8C3ctxq1tqvaCgkFb8cCA/edit?usp=sharing"",""นครราชสีมา!I511"")"),0)</f>
        <v>0</v>
      </c>
      <c r="J616" s="198">
        <f ca="1">IFERROR(__xludf.DUMMYFUNCTION("IMPORTRANGE(""https://docs.google.com/spreadsheets/d/1XL5vhW3sbDhbH9Cz0tuDiY8C3ctxq1tqvaCgkFb8cCA/edit?usp=sharing"",""นครราชสีมา!J511"")"),0)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IFERROR(__xludf.DUMMYFUNCTION("IMPORTRANGE(""https://docs.google.com/spreadsheets/d/1XL5vhW3sbDhbH9Cz0tuDiY8C3ctxq1tqvaCgkFb8cCA/edit?usp=sharing"",""นครราชสีมา!I512"")"),0)</f>
        <v>0</v>
      </c>
      <c r="J617" s="188">
        <f ca="1">IFERROR(__xludf.DUMMYFUNCTION("IMPORTRANGE(""https://docs.google.com/spreadsheets/d/1XL5vhW3sbDhbH9Cz0tuDiY8C3ctxq1tqvaCgkFb8cCA/edit?usp=sharing"",""นครราชสีมา!J512"")"),0)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IFERROR(__xludf.DUMMYFUNCTION("IMPORTRANGE(""https://docs.google.com/spreadsheets/d/1XL5vhW3sbDhbH9Cz0tuDiY8C3ctxq1tqvaCgkFb8cCA/edit?usp=sharing"",""นครราชสีมา!I513"")"),0)</f>
        <v>0</v>
      </c>
      <c r="J618" s="189">
        <f ca="1">IFERROR(__xludf.DUMMYFUNCTION("IMPORTRANGE(""https://docs.google.com/spreadsheets/d/1XL5vhW3sbDhbH9Cz0tuDiY8C3ctxq1tqvaCgkFb8cCA/edit?usp=sharing"",""นครราชสีมา!J513"")"),0)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IFERROR(__xludf.DUMMYFUNCTION("IMPORTRANGE(""https://docs.google.com/spreadsheets/d/1XL5vhW3sbDhbH9Cz0tuDiY8C3ctxq1tqvaCgkFb8cCA/edit?usp=sharing"",""นครราชสีมา!I514"")"),0)</f>
        <v>0</v>
      </c>
      <c r="J619" s="189">
        <f ca="1">IFERROR(__xludf.DUMMYFUNCTION("IMPORTRANGE(""https://docs.google.com/spreadsheets/d/1XL5vhW3sbDhbH9Cz0tuDiY8C3ctxq1tqvaCgkFb8cCA/edit?usp=sharing"",""นครราชสีมา!J514"")"),0)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IFERROR(__xludf.DUMMYFUNCTION("IMPORTRANGE(""https://docs.google.com/spreadsheets/d/1XL5vhW3sbDhbH9Cz0tuDiY8C3ctxq1tqvaCgkFb8cCA/edit?usp=sharing"",""นครราชสีมา!I515"")"),0)</f>
        <v>0</v>
      </c>
      <c r="J620" s="203">
        <f ca="1">IFERROR(__xludf.DUMMYFUNCTION("IMPORTRANGE(""https://docs.google.com/spreadsheets/d/1XL5vhW3sbDhbH9Cz0tuDiY8C3ctxq1tqvaCgkFb8cCA/edit?usp=sharing"",""นครราชสีมา!J515"")"),0)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IFERROR(__xludf.DUMMYFUNCTION("IMPORTRANGE(""https://docs.google.com/spreadsheets/d/1XL5vhW3sbDhbH9Cz0tuDiY8C3ctxq1tqvaCgkFb8cCA/edit?usp=sharing"",""นครราชสีมา!I516"")"),0)</f>
        <v>0</v>
      </c>
      <c r="J621" s="203">
        <f ca="1">IFERROR(__xludf.DUMMYFUNCTION("IMPORTRANGE(""https://docs.google.com/spreadsheets/d/1XL5vhW3sbDhbH9Cz0tuDiY8C3ctxq1tqvaCgkFb8cCA/edit?usp=sharing"",""นครราชสีมา!J516"")"),0)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IFERROR(__xludf.DUMMYFUNCTION("IMPORTRANGE(""https://docs.google.com/spreadsheets/d/1XL5vhW3sbDhbH9Cz0tuDiY8C3ctxq1tqvaCgkFb8cCA/edit?usp=sharing"",""นครราชสีมา!I517"")"),0)</f>
        <v>0</v>
      </c>
      <c r="J622" s="189">
        <f ca="1">IFERROR(__xludf.DUMMYFUNCTION("IMPORTRANGE(""https://docs.google.com/spreadsheets/d/1XL5vhW3sbDhbH9Cz0tuDiY8C3ctxq1tqvaCgkFb8cCA/edit?usp=sharing"",""นครราชสีมา!J517"")"),0)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IFERROR(__xludf.DUMMYFUNCTION("IMPORTRANGE(""https://docs.google.com/spreadsheets/d/1XL5vhW3sbDhbH9Cz0tuDiY8C3ctxq1tqvaCgkFb8cCA/edit?usp=sharing"",""นครราชสีมา!I518"")"),0)</f>
        <v>0</v>
      </c>
      <c r="J623" s="189">
        <f ca="1">IFERROR(__xludf.DUMMYFUNCTION("IMPORTRANGE(""https://docs.google.com/spreadsheets/d/1XL5vhW3sbDhbH9Cz0tuDiY8C3ctxq1tqvaCgkFb8cCA/edit?usp=sharing"",""นครราชสีมา!J518"")"),0)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IFERROR(__xludf.DUMMYFUNCTION("IMPORTRANGE(""https://docs.google.com/spreadsheets/d/1XL5vhW3sbDhbH9Cz0tuDiY8C3ctxq1tqvaCgkFb8cCA/edit?usp=sharing"",""นครราชสีมา!I519"")"),0)</f>
        <v>0</v>
      </c>
      <c r="J624" s="188">
        <f ca="1">IFERROR(__xludf.DUMMYFUNCTION("IMPORTRANGE(""https://docs.google.com/spreadsheets/d/1XL5vhW3sbDhbH9Cz0tuDiY8C3ctxq1tqvaCgkFb8cCA/edit?usp=sharing"",""นครราชสีมา!J519"")"),0)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IFERROR(__xludf.DUMMYFUNCTION("IMPORTRANGE(""https://docs.google.com/spreadsheets/d/1XL5vhW3sbDhbH9Cz0tuDiY8C3ctxq1tqvaCgkFb8cCA/edit?usp=sharing"",""นครราชสีมา!I520"")"),0)</f>
        <v>0</v>
      </c>
      <c r="J625" s="189">
        <f ca="1">IFERROR(__xludf.DUMMYFUNCTION("IMPORTRANGE(""https://docs.google.com/spreadsheets/d/1XL5vhW3sbDhbH9Cz0tuDiY8C3ctxq1tqvaCgkFb8cCA/edit?usp=sharing"",""นครราชสีมา!J520"")"),0)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IFERROR(__xludf.DUMMYFUNCTION("IMPORTRANGE(""https://docs.google.com/spreadsheets/d/1XL5vhW3sbDhbH9Cz0tuDiY8C3ctxq1tqvaCgkFb8cCA/edit?usp=sharing"",""นครราชสีมา!I521"")"),0)</f>
        <v>0</v>
      </c>
      <c r="J626" s="189">
        <f ca="1">IFERROR(__xludf.DUMMYFUNCTION("IMPORTRANGE(""https://docs.google.com/spreadsheets/d/1XL5vhW3sbDhbH9Cz0tuDiY8C3ctxq1tqvaCgkFb8cCA/edit?usp=sharing"",""นครราชสีมา!J521"")"),0)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IFERROR(__xludf.DUMMYFUNCTION("IMPORTRANGE(""https://docs.google.com/spreadsheets/d/1XL5vhW3sbDhbH9Cz0tuDiY8C3ctxq1tqvaCgkFb8cCA/edit?usp=sharing"",""นครราชสีมา!I523"")"),15000000)</f>
        <v>15000000</v>
      </c>
      <c r="J628" s="341">
        <f ca="1">IFERROR(__xludf.DUMMYFUNCTION("IMPORTRANGE(""https://docs.google.com/spreadsheets/d/1XL5vhW3sbDhbH9Cz0tuDiY8C3ctxq1tqvaCgkFb8cCA/edit?usp=sharing"",""นครราชสีมา!J523"")"),3512000)</f>
        <v>3512000</v>
      </c>
      <c r="K628" s="342">
        <f t="shared" ref="K628:K635" ca="1" si="129">IF(I628&gt;0,J628*100/I628,0)</f>
        <v>23.413333333333334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IFERROR(__xludf.DUMMYFUNCTION("IMPORTRANGE(""https://docs.google.com/spreadsheets/d/1XL5vhW3sbDhbH9Cz0tuDiY8C3ctxq1tqvaCgkFb8cCA/edit?usp=sharing"",""นครราชสีมา!I524"")"),393)</f>
        <v>393</v>
      </c>
      <c r="J629" s="341">
        <f ca="1">IFERROR(__xludf.DUMMYFUNCTION("IMPORTRANGE(""https://docs.google.com/spreadsheets/d/1XL5vhW3sbDhbH9Cz0tuDiY8C3ctxq1tqvaCgkFb8cCA/edit?usp=sharing"",""นครราชสีมา!J524"")"),92)</f>
        <v>92</v>
      </c>
      <c r="K629" s="342">
        <f t="shared" ca="1" si="129"/>
        <v>23.409669211195929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IFERROR(__xludf.DUMMYFUNCTION("IMPORTRANGE(""https://docs.google.com/spreadsheets/d/1XL5vhW3sbDhbH9Cz0tuDiY8C3ctxq1tqvaCgkFb8cCA/edit?usp=sharing"",""นครราชสีมา!I525"")"),8435837.57)</f>
        <v>8435837.5700000003</v>
      </c>
      <c r="J630" s="341">
        <f ca="1">IFERROR(__xludf.DUMMYFUNCTION("IMPORTRANGE(""https://docs.google.com/spreadsheets/d/1XL5vhW3sbDhbH9Cz0tuDiY8C3ctxq1tqvaCgkFb8cCA/edit?usp=sharing"",""นครราชสีมา!J525"")"),861898.19)</f>
        <v>861898.19</v>
      </c>
      <c r="K630" s="342">
        <f t="shared" ca="1" si="129"/>
        <v>10.217102722142622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IFERROR(__xludf.DUMMYFUNCTION("IMPORTRANGE(""https://docs.google.com/spreadsheets/d/1XL5vhW3sbDhbH9Cz0tuDiY8C3ctxq1tqvaCgkFb8cCA/edit?usp=sharing"",""นครราชสีมา!I526"")"),267)</f>
        <v>267</v>
      </c>
      <c r="J631" s="341">
        <f ca="1">IFERROR(__xludf.DUMMYFUNCTION("IMPORTRANGE(""https://docs.google.com/spreadsheets/d/1XL5vhW3sbDhbH9Cz0tuDiY8C3ctxq1tqvaCgkFb8cCA/edit?usp=sharing"",""นครราชสีมา!J526"")"),113)</f>
        <v>113</v>
      </c>
      <c r="K631" s="342">
        <f t="shared" ca="1" si="129"/>
        <v>42.322097378277157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IFERROR(__xludf.DUMMYFUNCTION("IMPORTRANGE(""https://docs.google.com/spreadsheets/d/1XL5vhW3sbDhbH9Cz0tuDiY8C3ctxq1tqvaCgkFb8cCA/edit?usp=sharing"",""นครราชสีมา!I527"")"),19867.84)</f>
        <v>19867.84</v>
      </c>
      <c r="J632" s="341">
        <f ca="1">IFERROR(__xludf.DUMMYFUNCTION("IMPORTRANGE(""https://docs.google.com/spreadsheets/d/1XL5vhW3sbDhbH9Cz0tuDiY8C3ctxq1tqvaCgkFb8cCA/edit?usp=sharing"",""นครราชสีมา!J527"")"),271410.72)</f>
        <v>271410.71999999997</v>
      </c>
      <c r="K632" s="342">
        <f t="shared" ca="1" si="129"/>
        <v>1366.0806610079403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IFERROR(__xludf.DUMMYFUNCTION("IMPORTRANGE(""https://docs.google.com/spreadsheets/d/1XL5vhW3sbDhbH9Cz0tuDiY8C3ctxq1tqvaCgkFb8cCA/edit?usp=sharing"",""นครราชสีมา!I528"")"),105)</f>
        <v>105</v>
      </c>
      <c r="J633" s="341">
        <f ca="1">IFERROR(__xludf.DUMMYFUNCTION("IMPORTRANGE(""https://docs.google.com/spreadsheets/d/1XL5vhW3sbDhbH9Cz0tuDiY8C3ctxq1tqvaCgkFb8cCA/edit?usp=sharing"",""นครราชสีมา!J528"")"),19)</f>
        <v>19</v>
      </c>
      <c r="K633" s="342">
        <f t="shared" ca="1" si="129"/>
        <v>18.095238095238095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IFERROR(__xludf.DUMMYFUNCTION("IMPORTRANGE(""https://docs.google.com/spreadsheets/d/1XL5vhW3sbDhbH9Cz0tuDiY8C3ctxq1tqvaCgkFb8cCA/edit?usp=sharing"",""นครราชสีมา!I529"")"),5000000)</f>
        <v>5000000</v>
      </c>
      <c r="J634" s="341">
        <f ca="1">IFERROR(__xludf.DUMMYFUNCTION("IMPORTRANGE(""https://docs.google.com/spreadsheets/d/1XL5vhW3sbDhbH9Cz0tuDiY8C3ctxq1tqvaCgkFb8cCA/edit?usp=sharing"",""นครราชสีมา!J529"")"),1524000)</f>
        <v>1524000</v>
      </c>
      <c r="K634" s="342">
        <f t="shared" ca="1" si="129"/>
        <v>30.48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IFERROR(__xludf.DUMMYFUNCTION("IMPORTRANGE(""https://docs.google.com/spreadsheets/d/1XL5vhW3sbDhbH9Cz0tuDiY8C3ctxq1tqvaCgkFb8cCA/edit?usp=sharing"",""นครราชสีมา!I530"")"),125)</f>
        <v>125</v>
      </c>
      <c r="J635" s="504">
        <f ca="1">IFERROR(__xludf.DUMMYFUNCTION("IMPORTRANGE(""https://docs.google.com/spreadsheets/d/1XL5vhW3sbDhbH9Cz0tuDiY8C3ctxq1tqvaCgkFb8cCA/edit?usp=sharing"",""นครราชสีมา!J530"")"),40)</f>
        <v>40</v>
      </c>
      <c r="K635" s="486">
        <f t="shared" ca="1" si="129"/>
        <v>32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8">
    <mergeCell ref="D278:E278"/>
    <mergeCell ref="A1:P1"/>
    <mergeCell ref="A2:P2"/>
    <mergeCell ref="A3:P3"/>
    <mergeCell ref="D250:G250"/>
    <mergeCell ref="D253:F253"/>
    <mergeCell ref="D257:E257"/>
    <mergeCell ref="D271:G271"/>
    <mergeCell ref="D274:F274"/>
    <mergeCell ref="D140:G140"/>
    <mergeCell ref="D143:F143"/>
    <mergeCell ref="D147:E147"/>
    <mergeCell ref="D220:G220"/>
    <mergeCell ref="D227:E22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D332:F332"/>
    <mergeCell ref="D336:E336"/>
    <mergeCell ref="D290:G290"/>
    <mergeCell ref="D293:F293"/>
    <mergeCell ref="D297:E297"/>
    <mergeCell ref="D310:G310"/>
    <mergeCell ref="D313:F313"/>
    <mergeCell ref="D317:E317"/>
    <mergeCell ref="D329:G329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12" sqref="J12"/>
      <selection pane="bottomLeft" activeCell="J559" sqref="J559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3.90625" bestFit="1" customWidth="1"/>
    <col min="10" max="10" width="11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56" t="s">
        <v>0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</row>
    <row r="2" spans="1:16" ht="18" customHeight="1" x14ac:dyDescent="0.35">
      <c r="A2" s="556" t="s">
        <v>248</v>
      </c>
      <c r="B2" s="556"/>
      <c r="C2" s="556"/>
      <c r="D2" s="556"/>
      <c r="E2" s="556"/>
      <c r="F2" s="556"/>
      <c r="G2" s="556"/>
      <c r="H2" s="556"/>
      <c r="I2" s="556"/>
      <c r="J2" s="556"/>
      <c r="K2" s="556"/>
      <c r="L2" s="556"/>
      <c r="M2" s="556"/>
      <c r="N2" s="556"/>
      <c r="O2" s="556"/>
      <c r="P2" s="556"/>
    </row>
    <row r="3" spans="1:16" ht="18" customHeight="1" x14ac:dyDescent="0.35">
      <c r="A3" s="556" t="s">
        <v>278</v>
      </c>
      <c r="B3" s="556"/>
      <c r="C3" s="556"/>
      <c r="D3" s="556"/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6"/>
      <c r="P3" s="55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79" t="s">
        <v>2</v>
      </c>
      <c r="B5" s="565"/>
      <c r="C5" s="565"/>
      <c r="D5" s="565"/>
      <c r="E5" s="565"/>
      <c r="F5" s="565"/>
      <c r="G5" s="566"/>
      <c r="H5" s="578" t="s">
        <v>3</v>
      </c>
      <c r="I5" s="559" t="s">
        <v>4</v>
      </c>
      <c r="J5" s="560"/>
      <c r="K5" s="561"/>
      <c r="L5" s="562" t="s">
        <v>5</v>
      </c>
      <c r="M5" s="561"/>
      <c r="N5" s="563" t="s">
        <v>6</v>
      </c>
      <c r="O5" s="560"/>
      <c r="P5" s="561"/>
    </row>
    <row r="6" spans="1:16" ht="21.75" customHeight="1" x14ac:dyDescent="0.35">
      <c r="A6" s="567"/>
      <c r="B6" s="568"/>
      <c r="C6" s="568"/>
      <c r="D6" s="568"/>
      <c r="E6" s="568"/>
      <c r="F6" s="568"/>
      <c r="G6" s="569"/>
      <c r="H6" s="55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80" t="s">
        <v>15</v>
      </c>
      <c r="B7" s="560"/>
      <c r="C7" s="560"/>
      <c r="D7" s="560"/>
      <c r="E7" s="560"/>
      <c r="F7" s="560"/>
      <c r="G7" s="561"/>
      <c r="H7" s="512"/>
      <c r="I7" s="513"/>
      <c r="J7" s="513"/>
      <c r="K7" s="514"/>
      <c r="L7" s="515"/>
      <c r="M7" s="514"/>
      <c r="N7" s="515"/>
      <c r="O7" s="516"/>
      <c r="P7" s="516"/>
    </row>
    <row r="8" spans="1:16" ht="21.75" customHeight="1" x14ac:dyDescent="0.45">
      <c r="A8" s="17"/>
      <c r="B8" s="18"/>
      <c r="C8" s="19" t="s">
        <v>16</v>
      </c>
      <c r="D8" s="571" t="s">
        <v>17</v>
      </c>
      <c r="E8" s="555"/>
      <c r="F8" s="555"/>
      <c r="G8" s="555"/>
      <c r="H8" s="20" t="s">
        <v>12</v>
      </c>
      <c r="I8" s="21"/>
      <c r="J8" s="21"/>
      <c r="K8" s="22"/>
      <c r="L8" s="23">
        <f t="shared" ref="L8:N8" ca="1" si="0">L9+L10</f>
        <v>7471154</v>
      </c>
      <c r="M8" s="23">
        <f t="shared" ca="1" si="0"/>
        <v>3725745</v>
      </c>
      <c r="N8" s="23">
        <f t="shared" ca="1" si="0"/>
        <v>3764070.88</v>
      </c>
      <c r="O8" s="22">
        <f t="shared" ref="O8:O16" ca="1" si="1">IF(L8&gt;0,N8*100/L8,0)</f>
        <v>50.381385258555774</v>
      </c>
      <c r="P8" s="22">
        <f t="shared" ref="P8:P16" ca="1" si="2">IF(M8&gt;0,N8*100/M8,0)</f>
        <v>101.02867694917393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7471154</v>
      </c>
      <c r="M10" s="30">
        <f t="shared" ca="1" si="4"/>
        <v>3725745</v>
      </c>
      <c r="N10" s="30">
        <f t="shared" ca="1" si="4"/>
        <v>3764070.88</v>
      </c>
      <c r="O10" s="29">
        <f t="shared" ca="1" si="1"/>
        <v>50.381385258555774</v>
      </c>
      <c r="P10" s="29">
        <f t="shared" ca="1" si="2"/>
        <v>101.02867694917393</v>
      </c>
    </row>
    <row r="11" spans="1:16" ht="21.75" customHeight="1" x14ac:dyDescent="0.45">
      <c r="A11" s="31"/>
      <c r="B11" s="32"/>
      <c r="C11" s="33" t="s">
        <v>16</v>
      </c>
      <c r="D11" s="572" t="s">
        <v>20</v>
      </c>
      <c r="E11" s="553"/>
      <c r="F11" s="55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6307655</v>
      </c>
      <c r="M12" s="38">
        <f t="shared" ca="1" si="6"/>
        <v>2562246</v>
      </c>
      <c r="N12" s="38">
        <f t="shared" ca="1" si="6"/>
        <v>2600571.88</v>
      </c>
      <c r="O12" s="38">
        <f t="shared" ca="1" si="1"/>
        <v>41.228822438766862</v>
      </c>
      <c r="P12" s="38">
        <f t="shared" ca="1" si="2"/>
        <v>101.49579236341866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2301400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4006255</v>
      </c>
      <c r="M14" s="38">
        <f t="shared" si="8"/>
        <v>0</v>
      </c>
      <c r="N14" s="38">
        <f t="shared" ca="1" si="8"/>
        <v>926047</v>
      </c>
      <c r="O14" s="38">
        <f t="shared" ca="1" si="1"/>
        <v>23.115028873598909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2" t="s">
        <v>23</v>
      </c>
      <c r="E15" s="55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1163499</v>
      </c>
      <c r="M16" s="38">
        <f t="shared" ca="1" si="10"/>
        <v>1163499</v>
      </c>
      <c r="N16" s="38">
        <f t="shared" ca="1" si="10"/>
        <v>1163499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80" t="s">
        <v>24</v>
      </c>
      <c r="B17" s="560"/>
      <c r="C17" s="560"/>
      <c r="D17" s="560"/>
      <c r="E17" s="560"/>
      <c r="F17" s="560"/>
      <c r="G17" s="561"/>
      <c r="H17" s="512"/>
      <c r="I17" s="513"/>
      <c r="J17" s="513"/>
      <c r="K17" s="514"/>
      <c r="L17" s="515"/>
      <c r="M17" s="514"/>
      <c r="N17" s="515"/>
      <c r="O17" s="516"/>
      <c r="P17" s="516"/>
    </row>
    <row r="18" spans="1:16" ht="21.75" customHeight="1" x14ac:dyDescent="0.45">
      <c r="A18" s="17"/>
      <c r="B18" s="18"/>
      <c r="C18" s="19" t="s">
        <v>16</v>
      </c>
      <c r="D18" s="571" t="s">
        <v>17</v>
      </c>
      <c r="E18" s="555"/>
      <c r="F18" s="555"/>
      <c r="G18" s="555"/>
      <c r="H18" s="20" t="s">
        <v>12</v>
      </c>
      <c r="I18" s="21"/>
      <c r="J18" s="21"/>
      <c r="K18" s="22"/>
      <c r="L18" s="23">
        <f t="shared" ref="L18:N18" ca="1" si="11">L19+L20</f>
        <v>4682709</v>
      </c>
      <c r="M18" s="23">
        <f t="shared" ca="1" si="11"/>
        <v>3725745</v>
      </c>
      <c r="N18" s="23">
        <f t="shared" ca="1" si="11"/>
        <v>2838023.88</v>
      </c>
      <c r="O18" s="22">
        <f t="shared" ref="O18:O20" ca="1" si="12">IF(L18&gt;0,N18*100/L18,0)</f>
        <v>60.60645408459078</v>
      </c>
      <c r="P18" s="22">
        <f t="shared" ref="P18:P26" ca="1" si="13">IF(M18&gt;0,N18*100/M18,0)</f>
        <v>76.173325871738399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4682709</v>
      </c>
      <c r="M20" s="30">
        <f t="shared" ca="1" si="15"/>
        <v>3725745</v>
      </c>
      <c r="N20" s="30">
        <f t="shared" ca="1" si="15"/>
        <v>2838023.88</v>
      </c>
      <c r="O20" s="29">
        <f t="shared" ca="1" si="12"/>
        <v>60.60645408459078</v>
      </c>
      <c r="P20" s="29">
        <f t="shared" ca="1" si="13"/>
        <v>76.173325871738399</v>
      </c>
    </row>
    <row r="21" spans="1:16" ht="21.75" customHeight="1" x14ac:dyDescent="0.45">
      <c r="A21" s="31"/>
      <c r="B21" s="32"/>
      <c r="C21" s="33" t="s">
        <v>16</v>
      </c>
      <c r="D21" s="572" t="s">
        <v>20</v>
      </c>
      <c r="E21" s="553"/>
      <c r="F21" s="55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3519210</v>
      </c>
      <c r="M22" s="41">
        <f t="shared" ca="1" si="18"/>
        <v>2562246</v>
      </c>
      <c r="N22" s="38">
        <f t="shared" ca="1" si="18"/>
        <v>1674524.88</v>
      </c>
      <c r="O22" s="38">
        <f t="shared" ca="1" si="17"/>
        <v>47.582408551919322</v>
      </c>
      <c r="P22" s="38">
        <f t="shared" ca="1" si="13"/>
        <v>65.353790385466496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2301400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1217810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2" t="s">
        <v>23</v>
      </c>
      <c r="E25" s="55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1163499</v>
      </c>
      <c r="M26" s="49">
        <f t="shared" ca="1" si="22"/>
        <v>1163499</v>
      </c>
      <c r="N26" s="49">
        <f t="shared" ca="1" si="22"/>
        <v>1163499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80" t="s">
        <v>25</v>
      </c>
      <c r="B27" s="560"/>
      <c r="C27" s="560"/>
      <c r="D27" s="560"/>
      <c r="E27" s="560"/>
      <c r="F27" s="560"/>
      <c r="G27" s="561"/>
      <c r="H27" s="512"/>
      <c r="I27" s="513"/>
      <c r="J27" s="513"/>
      <c r="K27" s="514"/>
      <c r="L27" s="515"/>
      <c r="M27" s="514"/>
      <c r="N27" s="515"/>
      <c r="O27" s="516"/>
      <c r="P27" s="516"/>
    </row>
    <row r="28" spans="1:16" ht="21.75" customHeight="1" x14ac:dyDescent="0.45">
      <c r="A28" s="17"/>
      <c r="B28" s="18"/>
      <c r="C28" s="19" t="s">
        <v>16</v>
      </c>
      <c r="D28" s="571" t="s">
        <v>17</v>
      </c>
      <c r="E28" s="555"/>
      <c r="F28" s="555"/>
      <c r="G28" s="555"/>
      <c r="H28" s="20" t="s">
        <v>12</v>
      </c>
      <c r="I28" s="21"/>
      <c r="J28" s="21"/>
      <c r="K28" s="22"/>
      <c r="L28" s="23">
        <f t="shared" ref="L28:N28" ca="1" si="23">L29+L30</f>
        <v>2788445</v>
      </c>
      <c r="M28" s="23">
        <f t="shared" si="23"/>
        <v>0</v>
      </c>
      <c r="N28" s="23">
        <f t="shared" ca="1" si="23"/>
        <v>926047</v>
      </c>
      <c r="O28" s="22">
        <f t="shared" ref="O28:O30" ca="1" si="24">IF(L28&gt;0,N28*100/L28,0)</f>
        <v>33.210158349904695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2788445</v>
      </c>
      <c r="M30" s="30">
        <f t="shared" si="27"/>
        <v>0</v>
      </c>
      <c r="N30" s="30">
        <f t="shared" ca="1" si="27"/>
        <v>926047</v>
      </c>
      <c r="O30" s="29">
        <f t="shared" ca="1" si="24"/>
        <v>33.210158349904695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2" t="s">
        <v>20</v>
      </c>
      <c r="E31" s="553"/>
      <c r="F31" s="55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2788445</v>
      </c>
      <c r="M32" s="38">
        <f t="shared" si="30"/>
        <v>0</v>
      </c>
      <c r="N32" s="38">
        <f t="shared" ca="1" si="30"/>
        <v>926047</v>
      </c>
      <c r="O32" s="38">
        <f t="shared" ca="1" si="29"/>
        <v>33.210158349904695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2788445</v>
      </c>
      <c r="M34" s="38">
        <f t="shared" si="32"/>
        <v>0</v>
      </c>
      <c r="N34" s="38">
        <f t="shared" ca="1" si="32"/>
        <v>926047</v>
      </c>
      <c r="O34" s="38">
        <f t="shared" ca="1" si="29"/>
        <v>33.210158349904695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2" t="s">
        <v>23</v>
      </c>
      <c r="E35" s="55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4682709</v>
      </c>
      <c r="M37" s="54">
        <f t="shared" ca="1" si="33"/>
        <v>3725745</v>
      </c>
      <c r="N37" s="54">
        <f t="shared" ca="1" si="33"/>
        <v>2838023.88</v>
      </c>
      <c r="O37" s="55">
        <f t="shared" ca="1" si="29"/>
        <v>60.60645408459078</v>
      </c>
      <c r="P37" s="55">
        <f t="shared" ca="1" si="25"/>
        <v>76.173325871738399</v>
      </c>
    </row>
    <row r="38" spans="1:16" ht="21.75" customHeight="1" x14ac:dyDescent="0.45">
      <c r="A38" s="581" t="s">
        <v>27</v>
      </c>
      <c r="B38" s="560"/>
      <c r="C38" s="560"/>
      <c r="D38" s="560"/>
      <c r="E38" s="560"/>
      <c r="F38" s="560"/>
      <c r="G38" s="561"/>
      <c r="H38" s="517"/>
      <c r="I38" s="518"/>
      <c r="J38" s="518"/>
      <c r="K38" s="519"/>
      <c r="L38" s="520"/>
      <c r="M38" s="520"/>
      <c r="N38" s="520"/>
      <c r="O38" s="520"/>
      <c r="P38" s="520"/>
    </row>
    <row r="39" spans="1:16" ht="21.75" customHeight="1" x14ac:dyDescent="0.45">
      <c r="A39" s="521"/>
      <c r="B39" s="582" t="s">
        <v>28</v>
      </c>
      <c r="C39" s="555"/>
      <c r="D39" s="555"/>
      <c r="E39" s="555"/>
      <c r="F39" s="555"/>
      <c r="G39" s="555"/>
      <c r="H39" s="522"/>
      <c r="I39" s="523"/>
      <c r="J39" s="523"/>
      <c r="K39" s="524"/>
      <c r="L39" s="525"/>
      <c r="M39" s="525"/>
      <c r="N39" s="525"/>
      <c r="O39" s="524"/>
      <c r="P39" s="524"/>
    </row>
    <row r="40" spans="1:16" ht="21.75" customHeight="1" x14ac:dyDescent="0.45">
      <c r="A40" s="526"/>
      <c r="B40" s="527" t="s">
        <v>29</v>
      </c>
      <c r="C40" s="528"/>
      <c r="D40" s="528"/>
      <c r="E40" s="528"/>
      <c r="F40" s="528"/>
      <c r="G40" s="528"/>
      <c r="H40" s="529"/>
      <c r="I40" s="530"/>
      <c r="J40" s="530"/>
      <c r="K40" s="531"/>
      <c r="L40" s="532"/>
      <c r="M40" s="532"/>
      <c r="N40" s="532"/>
      <c r="O40" s="531"/>
      <c r="P40" s="531"/>
    </row>
    <row r="41" spans="1:16" ht="21.75" customHeight="1" x14ac:dyDescent="0.45">
      <c r="A41" s="72"/>
      <c r="B41" s="73"/>
      <c r="C41" s="74" t="s">
        <v>16</v>
      </c>
      <c r="D41" s="575" t="s">
        <v>17</v>
      </c>
      <c r="E41" s="553"/>
      <c r="F41" s="553"/>
      <c r="G41" s="553"/>
      <c r="H41" s="75" t="s">
        <v>12</v>
      </c>
      <c r="I41" s="76"/>
      <c r="J41" s="76"/>
      <c r="K41" s="77"/>
      <c r="L41" s="78">
        <f t="shared" ref="L41:N41" ca="1" si="34">L42+L43</f>
        <v>2008099</v>
      </c>
      <c r="M41" s="78">
        <f t="shared" ca="1" si="34"/>
        <v>1645799</v>
      </c>
      <c r="N41" s="78">
        <f t="shared" ca="1" si="34"/>
        <v>1386749.88</v>
      </c>
      <c r="O41" s="77">
        <f t="shared" ref="O41:O43" ca="1" si="35">IF(L41&gt;0,N41*100/L41,0)</f>
        <v>69.05784425967046</v>
      </c>
      <c r="P41" s="77">
        <f t="shared" ref="P41:P43" ca="1" si="36">IF(M41&gt;0,N41*100/M41,0)</f>
        <v>84.259978284103951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2008099</v>
      </c>
      <c r="M43" s="78">
        <f t="shared" ca="1" si="38"/>
        <v>1645799</v>
      </c>
      <c r="N43" s="78">
        <f t="shared" ca="1" si="38"/>
        <v>1386749.88</v>
      </c>
      <c r="O43" s="77">
        <f t="shared" ca="1" si="35"/>
        <v>69.05784425967046</v>
      </c>
      <c r="P43" s="77">
        <f t="shared" ca="1" si="36"/>
        <v>84.259978284103951</v>
      </c>
    </row>
    <row r="44" spans="1:16" ht="21.75" customHeight="1" x14ac:dyDescent="0.45">
      <c r="A44" s="79"/>
      <c r="B44" s="80"/>
      <c r="C44" s="81" t="s">
        <v>16</v>
      </c>
      <c r="D44" s="552" t="s">
        <v>20</v>
      </c>
      <c r="E44" s="553"/>
      <c r="F44" s="55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1029100</v>
      </c>
      <c r="M45" s="533">
        <f ca="1">IFERROR(__xludf.DUMMYFUNCTION("IMPORTRANGE(""https://docs.google.com/spreadsheets/d/1Yj_ptqi66GCucihVvJfMjLAmec39IyEx_6qawtMGysU/edit?usp=sharing"",""สบก!Q43"")"),666800)</f>
        <v>666800</v>
      </c>
      <c r="N45" s="533">
        <f ca="1">IFERROR(__xludf.DUMMYFUNCTION("IMPORTRANGE(""https://docs.google.com/spreadsheets/d/1Yj_ptqi66GCucihVvJfMjLAmec39IyEx_6qawtMGysU/edit?usp=sharing"",""สบก!R43"")"),407750.88)</f>
        <v>407750.88</v>
      </c>
      <c r="O45" s="534">
        <f ca="1">IF(L45&gt;0,N45*100/L45,0)</f>
        <v>39.622085317267512</v>
      </c>
      <c r="P45" s="534">
        <f ca="1">IF(M45&gt;0,N45*100/M45,0)</f>
        <v>61.15040191961608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533">
        <f ca="1">IFERROR(__xludf.DUMMYFUNCTION("IMPORTRANGE(""https://docs.google.com/spreadsheets/d/1Yj_ptqi66GCucihVvJfMjLAmec39IyEx_6qawtMGysU/edit?usp=sharing"",""สบก!M43"")"),1029100)</f>
        <v>1029100</v>
      </c>
      <c r="M46" s="535"/>
      <c r="N46" s="38"/>
      <c r="O46" s="534"/>
      <c r="P46" s="534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533">
        <f ca="1">IFERROR(__xludf.DUMMYFUNCTION("IMPORTRANGE(""https://docs.google.com/spreadsheets/d/1Yj_ptqi66GCucihVvJfMjLAmec39IyEx_6qawtMGysU/edit?usp=sharing"",""สบก!N43"")"),0)</f>
        <v>0</v>
      </c>
      <c r="M47" s="535"/>
      <c r="N47" s="38"/>
      <c r="O47" s="534"/>
      <c r="P47" s="534"/>
    </row>
    <row r="48" spans="1:16" ht="21.75" customHeight="1" x14ac:dyDescent="0.45">
      <c r="A48" s="79"/>
      <c r="B48" s="80"/>
      <c r="C48" s="81" t="s">
        <v>16</v>
      </c>
      <c r="D48" s="552" t="s">
        <v>23</v>
      </c>
      <c r="E48" s="55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535"/>
      <c r="N48" s="41"/>
      <c r="O48" s="535"/>
      <c r="P48" s="535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33">
        <f ca="1">IFERROR(__xludf.DUMMYFUNCTION("IMPORTRANGE(""https://docs.google.com/spreadsheets/d/1Yj_ptqi66GCucihVvJfMjLAmec39IyEx_6qawtMGysU/edit?usp=sharing"",""สบก!O43"")"),978999)</f>
        <v>978999</v>
      </c>
      <c r="M49" s="536">
        <f ca="1">L49</f>
        <v>978999</v>
      </c>
      <c r="N49" s="533">
        <f ca="1">IFERROR(__xludf.DUMMYFUNCTION("IMPORTRANGE(""https://docs.google.com/spreadsheets/d/1Yj_ptqi66GCucihVvJfMjLAmec39IyEx_6qawtMGysU/edit?usp=sharing"",""สบก!S43"")"),978999)</f>
        <v>978999</v>
      </c>
      <c r="O49" s="536">
        <f ca="1">IF(L49&gt;0,N49*100/L49,0)</f>
        <v>100</v>
      </c>
      <c r="P49" s="536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76" t="s">
        <v>32</v>
      </c>
      <c r="C52" s="553"/>
      <c r="D52" s="553"/>
      <c r="E52" s="553"/>
      <c r="F52" s="553"/>
      <c r="G52" s="55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77" t="s">
        <v>17</v>
      </c>
      <c r="E53" s="553"/>
      <c r="F53" s="553"/>
      <c r="G53" s="553"/>
      <c r="H53" s="118" t="s">
        <v>12</v>
      </c>
      <c r="I53" s="119"/>
      <c r="J53" s="119"/>
      <c r="K53" s="120"/>
      <c r="L53" s="121">
        <f t="shared" ref="L53:N53" ca="1" si="39">L54+L55</f>
        <v>762000</v>
      </c>
      <c r="M53" s="121">
        <f t="shared" ca="1" si="39"/>
        <v>578511</v>
      </c>
      <c r="N53" s="121">
        <f t="shared" ca="1" si="39"/>
        <v>330906</v>
      </c>
      <c r="O53" s="120">
        <f t="shared" ref="O53:O55" ca="1" si="40">IF(L53&gt;0,N53*100/L53,0)</f>
        <v>43.425984251968501</v>
      </c>
      <c r="P53" s="120">
        <f t="shared" ref="P53:P55" ca="1" si="41">IF(M53&gt;0,N53*100/M53,0)</f>
        <v>57.199603810472055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762000</v>
      </c>
      <c r="M55" s="121">
        <f t="shared" ca="1" si="43"/>
        <v>578511</v>
      </c>
      <c r="N55" s="121">
        <f t="shared" ca="1" si="43"/>
        <v>330906</v>
      </c>
      <c r="O55" s="120">
        <f t="shared" ca="1" si="40"/>
        <v>43.425984251968501</v>
      </c>
      <c r="P55" s="120">
        <f t="shared" ca="1" si="41"/>
        <v>57.199603810472055</v>
      </c>
    </row>
    <row r="56" spans="1:16" ht="21.75" customHeight="1" x14ac:dyDescent="0.45">
      <c r="A56" s="79"/>
      <c r="B56" s="80"/>
      <c r="C56" s="81" t="s">
        <v>16</v>
      </c>
      <c r="D56" s="552" t="s">
        <v>20</v>
      </c>
      <c r="E56" s="553"/>
      <c r="F56" s="55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762000</v>
      </c>
      <c r="M57" s="533">
        <f ca="1">IFERROR(__xludf.DUMMYFUNCTION("IMPORTRANGE(""https://docs.google.com/spreadsheets/d/1Yj_ptqi66GCucihVvJfMjLAmec39IyEx_6qawtMGysU/edit?usp=sharing"",""สบก!Z43"")"),578511)</f>
        <v>578511</v>
      </c>
      <c r="N57" s="533">
        <f ca="1">IFERROR(__xludf.DUMMYFUNCTION("IMPORTRANGE(""https://docs.google.com/spreadsheets/d/1Yj_ptqi66GCucihVvJfMjLAmec39IyEx_6qawtMGysU/edit?usp=sharing"",""สบก!AA43"")"),330906)</f>
        <v>330906</v>
      </c>
      <c r="O57" s="534">
        <f ca="1">IF(L57&gt;0,N57*100/L57,0)</f>
        <v>43.425984251968501</v>
      </c>
      <c r="P57" s="534">
        <f ca="1">IF(M57&gt;0,N57*100/M57,0)</f>
        <v>57.199603810472055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533">
        <f ca="1">IFERROR(__xludf.DUMMYFUNCTION("IMPORTRANGE(""https://docs.google.com/spreadsheets/d/1Yj_ptqi66GCucihVvJfMjLAmec39IyEx_6qawtMGysU/edit?usp=sharing"",""สบก!V43"")"),762000)</f>
        <v>762000</v>
      </c>
      <c r="M58" s="535"/>
      <c r="N58" s="38"/>
      <c r="O58" s="534"/>
      <c r="P58" s="534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533">
        <f ca="1">IFERROR(__xludf.DUMMYFUNCTION("IMPORTRANGE(""https://docs.google.com/spreadsheets/d/1Yj_ptqi66GCucihVvJfMjLAmec39IyEx_6qawtMGysU/edit?usp=sharing"",""สบก!W43"")"),0)</f>
        <v>0</v>
      </c>
      <c r="M59" s="535"/>
      <c r="N59" s="38"/>
      <c r="O59" s="534"/>
      <c r="P59" s="534"/>
    </row>
    <row r="60" spans="1:16" ht="21.75" customHeight="1" x14ac:dyDescent="0.45">
      <c r="A60" s="79"/>
      <c r="B60" s="80"/>
      <c r="C60" s="81" t="s">
        <v>16</v>
      </c>
      <c r="D60" s="552" t="s">
        <v>23</v>
      </c>
      <c r="E60" s="55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535"/>
      <c r="N60" s="41"/>
      <c r="O60" s="535"/>
      <c r="P60" s="535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33">
        <f ca="1">IFERROR(__xludf.DUMMYFUNCTION("IMPORTRANGE(""https://docs.google.com/spreadsheets/d/1Yj_ptqi66GCucihVvJfMjLAmec39IyEx_6qawtMGysU/edit?usp=sharing"",""สบก!X43"")"),0)</f>
        <v>0</v>
      </c>
      <c r="M61" s="536"/>
      <c r="N61" s="533">
        <f ca="1">IFERROR(__xludf.DUMMYFUNCTION("IMPORTRANGE(""https://docs.google.com/spreadsheets/d/1Yj_ptqi66GCucihVvJfMjLAmec39IyEx_6qawtMGysU/edit?usp=sharing"",""สบก!AB43"")"),0)</f>
        <v>0</v>
      </c>
      <c r="O61" s="536">
        <f ca="1">IF(L61&gt;0,N61*100/L61,0)</f>
        <v>0</v>
      </c>
      <c r="P61" s="536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IFERROR(__xludf.DUMMYFUNCTION("IMPORTRANGE(""https://docs.google.com/spreadsheets/d/1XL5vhW3sbDhbH9Cz0tuDiY8C3ctxq1tqvaCgkFb8cCA/edit?usp=sharing"",""บึงกาฬ!I9"")"),0)</f>
        <v>0</v>
      </c>
      <c r="J64" s="142">
        <f ca="1">IFERROR(__xludf.DUMMYFUNCTION("IMPORTRANGE(""https://docs.google.com/spreadsheets/d/1XL5vhW3sbDhbH9Cz0tuDiY8C3ctxq1tqvaCgkFb8cCA/edit?usp=sharing"",""บึงกาฬ!J9"")"),0)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IFERROR(__xludf.DUMMYFUNCTION("IMPORTRANGE(""https://docs.google.com/spreadsheets/d/1XL5vhW3sbDhbH9Cz0tuDiY8C3ctxq1tqvaCgkFb8cCA/edit?usp=sharing"",""บึงกาฬ!I10"")"),0)</f>
        <v>0</v>
      </c>
      <c r="J65" s="142">
        <f ca="1">IFERROR(__xludf.DUMMYFUNCTION("IMPORTRANGE(""https://docs.google.com/spreadsheets/d/1XL5vhW3sbDhbH9Cz0tuDiY8C3ctxq1tqvaCgkFb8cCA/edit?usp=sharing"",""บึงกาฬ!J10"")"),0)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54" t="s">
        <v>17</v>
      </c>
      <c r="E66" s="555"/>
      <c r="F66" s="555"/>
      <c r="G66" s="55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52" t="s">
        <v>20</v>
      </c>
      <c r="E69" s="553"/>
      <c r="F69" s="55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537">
        <f ca="1">IFERROR(__xludf.DUMMYFUNCTION("IMPORTRANGE(""https://docs.google.com/spreadsheets/d/1Yj_ptqi66GCucihVvJfMjLAmec39IyEx_6qawtMGysU/edit?usp=sharing"",""สบก!AI43"")"),0)</f>
        <v>0</v>
      </c>
      <c r="N70" s="538">
        <f ca="1">IFERROR(__xludf.DUMMYFUNCTION("IMPORTRANGE(""https://docs.google.com/spreadsheets/d/1Yj_ptqi66GCucihVvJfMjLAmec39IyEx_6qawtMGysU/edit?usp=sharing"",""สบก!AJ43"")"),0)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537">
        <f ca="1">IFERROR(__xludf.DUMMYFUNCTION("IMPORTRANGE(""https://docs.google.com/spreadsheets/d/1Yj_ptqi66GCucihVvJfMjLAmec39IyEx_6qawtMGysU/edit?usp=sharing"",""สบก!AE43"")"),0)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537">
        <f ca="1">IFERROR(__xludf.DUMMYFUNCTION("IMPORTRANGE(""https://docs.google.com/spreadsheets/d/1Yj_ptqi66GCucihVvJfMjLAmec39IyEx_6qawtMGysU/edit?usp=sharing"",""สบก!AF43"")"),0)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52" t="s">
        <v>23</v>
      </c>
      <c r="E73" s="553"/>
      <c r="F73" s="89"/>
      <c r="G73" s="82" t="s">
        <v>18</v>
      </c>
      <c r="H73" s="172" t="s">
        <v>12</v>
      </c>
      <c r="I73" s="84"/>
      <c r="J73" s="84"/>
      <c r="K73" s="85"/>
      <c r="L73" s="535">
        <v>0</v>
      </c>
      <c r="M73" s="535"/>
      <c r="N73" s="41"/>
      <c r="O73" s="535"/>
      <c r="P73" s="535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533">
        <f ca="1">IFERROR(__xludf.DUMMYFUNCTION("IMPORTRANGE(""https://docs.google.com/spreadsheets/d/1Yj_ptqi66GCucihVvJfMjLAmec39IyEx_6qawtMGysU/edit?usp=sharing"",""สบก!AG43"")"),0)</f>
        <v>0</v>
      </c>
      <c r="M74" s="536"/>
      <c r="N74" s="533">
        <f ca="1">IFERROR(__xludf.DUMMYFUNCTION("IMPORTRANGE(""https://docs.google.com/spreadsheets/d/1Yj_ptqi66GCucihVvJfMjLAmec39IyEx_6qawtMGysU/edit?usp=sharing"",""สบก!AK43"")"),0)</f>
        <v>0</v>
      </c>
      <c r="O74" s="536">
        <f ca="1">IF(L74&gt;0,N74*100/L74,0)</f>
        <v>0</v>
      </c>
      <c r="P74" s="536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IFERROR(__xludf.DUMMYFUNCTION("IMPORTRANGE(""https://docs.google.com/spreadsheets/d/1XL5vhW3sbDhbH9Cz0tuDiY8C3ctxq1tqvaCgkFb8cCA/edit?usp=sharing"",""บึงกาฬ!J16"")"),0)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IFERROR(__xludf.DUMMYFUNCTION("IMPORTRANGE(""https://docs.google.com/spreadsheets/d/1XL5vhW3sbDhbH9Cz0tuDiY8C3ctxq1tqvaCgkFb8cCA/edit?usp=sharing"",""บึงกาฬ!J17"")"),0)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IFERROR(__xludf.DUMMYFUNCTION("IMPORTRANGE(""https://docs.google.com/spreadsheets/d/1XL5vhW3sbDhbH9Cz0tuDiY8C3ctxq1tqvaCgkFb8cCA/edit?usp=sharing"",""บึงกาฬ!J18"")"),0)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IFERROR(__xludf.DUMMYFUNCTION("IMPORTRANGE(""https://docs.google.com/spreadsheets/d/1XL5vhW3sbDhbH9Cz0tuDiY8C3ctxq1tqvaCgkFb8cCA/edit?usp=sharing"",""บึงกาฬ!J19"")"),0)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IFERROR(__xludf.DUMMYFUNCTION("IMPORTRANGE(""https://docs.google.com/spreadsheets/d/1XL5vhW3sbDhbH9Cz0tuDiY8C3ctxq1tqvaCgkFb8cCA/edit?usp=sharing"",""บึงกาฬ!I20"")"),0)</f>
        <v>0</v>
      </c>
      <c r="J80" s="201">
        <f ca="1">IFERROR(__xludf.DUMMYFUNCTION("IMPORTRANGE(""https://docs.google.com/spreadsheets/d/1XL5vhW3sbDhbH9Cz0tuDiY8C3ctxq1tqvaCgkFb8cCA/edit?usp=sharing"",""บึงกาฬ!J20"")"),0)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IFERROR(__xludf.DUMMYFUNCTION("IMPORTRANGE(""https://docs.google.com/spreadsheets/d/1XL5vhW3sbDhbH9Cz0tuDiY8C3ctxq1tqvaCgkFb8cCA/edit?usp=sharing"",""บึงกาฬ!I21"")"),0)</f>
        <v>0</v>
      </c>
      <c r="J81" s="201">
        <f ca="1">IFERROR(__xludf.DUMMYFUNCTION("IMPORTRANGE(""https://docs.google.com/spreadsheets/d/1XL5vhW3sbDhbH9Cz0tuDiY8C3ctxq1tqvaCgkFb8cCA/edit?usp=sharing"",""บึงกาฬ!J21"")"),0)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IFERROR(__xludf.DUMMYFUNCTION("IMPORTRANGE(""https://docs.google.com/spreadsheets/d/1XL5vhW3sbDhbH9Cz0tuDiY8C3ctxq1tqvaCgkFb8cCA/edit?usp=sharing"",""บึงกาฬ!I22"")"),0)</f>
        <v>0</v>
      </c>
      <c r="J82" s="204">
        <f ca="1">IFERROR(__xludf.DUMMYFUNCTION("IMPORTRANGE(""https://docs.google.com/spreadsheets/d/1XL5vhW3sbDhbH9Cz0tuDiY8C3ctxq1tqvaCgkFb8cCA/edit?usp=sharing"",""บึงกาฬ!J22"")"),0)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IFERROR(__xludf.DUMMYFUNCTION("IMPORTRANGE(""https://docs.google.com/spreadsheets/d/1XL5vhW3sbDhbH9Cz0tuDiY8C3ctxq1tqvaCgkFb8cCA/edit?usp=sharing"",""บึงกาฬ!I23"")"),0)</f>
        <v>0</v>
      </c>
      <c r="J83" s="204">
        <f ca="1">IFERROR(__xludf.DUMMYFUNCTION("IMPORTRANGE(""https://docs.google.com/spreadsheets/d/1XL5vhW3sbDhbH9Cz0tuDiY8C3ctxq1tqvaCgkFb8cCA/edit?usp=sharing"",""บึงกาฬ!J23"")"),0)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IFERROR(__xludf.DUMMYFUNCTION("IMPORTRANGE(""https://docs.google.com/spreadsheets/d/1XL5vhW3sbDhbH9Cz0tuDiY8C3ctxq1tqvaCgkFb8cCA/edit?usp=sharing"",""บึงกาฬ!I24"")"),0)</f>
        <v>0</v>
      </c>
      <c r="J84" s="189">
        <f ca="1">IFERROR(__xludf.DUMMYFUNCTION("IMPORTRANGE(""https://docs.google.com/spreadsheets/d/1XL5vhW3sbDhbH9Cz0tuDiY8C3ctxq1tqvaCgkFb8cCA/edit?usp=sharing"",""บึงกาฬ!J24"")"),0)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IFERROR(__xludf.DUMMYFUNCTION("IMPORTRANGE(""https://docs.google.com/spreadsheets/d/1XL5vhW3sbDhbH9Cz0tuDiY8C3ctxq1tqvaCgkFb8cCA/edit?usp=sharing"",""บึงกาฬ!I25"")"),0)</f>
        <v>0</v>
      </c>
      <c r="J85" s="189">
        <f ca="1">IFERROR(__xludf.DUMMYFUNCTION("IMPORTRANGE(""https://docs.google.com/spreadsheets/d/1XL5vhW3sbDhbH9Cz0tuDiY8C3ctxq1tqvaCgkFb8cCA/edit?usp=sharing"",""บึงกาฬ!J25"")"),0)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IFERROR(__xludf.DUMMYFUNCTION("IMPORTRANGE(""https://docs.google.com/spreadsheets/d/1XL5vhW3sbDhbH9Cz0tuDiY8C3ctxq1tqvaCgkFb8cCA/edit?usp=sharing"",""บึงกาฬ!I26"")"),0)</f>
        <v>0</v>
      </c>
      <c r="J86" s="204">
        <f ca="1">IFERROR(__xludf.DUMMYFUNCTION("IMPORTRANGE(""https://docs.google.com/spreadsheets/d/1XL5vhW3sbDhbH9Cz0tuDiY8C3ctxq1tqvaCgkFb8cCA/edit?usp=sharing"",""บึงกาฬ!J26"")"),0)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IFERROR(__xludf.DUMMYFUNCTION("IMPORTRANGE(""https://docs.google.com/spreadsheets/d/1XL5vhW3sbDhbH9Cz0tuDiY8C3ctxq1tqvaCgkFb8cCA/edit?usp=sharing"",""บึงกาฬ!I27"")"),0)</f>
        <v>0</v>
      </c>
      <c r="J87" s="204">
        <f ca="1">IFERROR(__xludf.DUMMYFUNCTION("IMPORTRANGE(""https://docs.google.com/spreadsheets/d/1XL5vhW3sbDhbH9Cz0tuDiY8C3ctxq1tqvaCgkFb8cCA/edit?usp=sharing"",""บึงกาฬ!J27"")"),0)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IFERROR(__xludf.DUMMYFUNCTION("IMPORTRANGE(""https://docs.google.com/spreadsheets/d/1XL5vhW3sbDhbH9Cz0tuDiY8C3ctxq1tqvaCgkFb8cCA/edit?usp=sharing"",""บึงกาฬ!I28"")"),0)</f>
        <v>0</v>
      </c>
      <c r="J88" s="204">
        <f ca="1">IFERROR(__xludf.DUMMYFUNCTION("IMPORTRANGE(""https://docs.google.com/spreadsheets/d/1XL5vhW3sbDhbH9Cz0tuDiY8C3ctxq1tqvaCgkFb8cCA/edit?usp=sharing"",""บึงกาฬ!J28"")"),0)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IFERROR(__xludf.DUMMYFUNCTION("IMPORTRANGE(""https://docs.google.com/spreadsheets/d/1XL5vhW3sbDhbH9Cz0tuDiY8C3ctxq1tqvaCgkFb8cCA/edit?usp=sharing"",""บึงกาฬ!J29"")"),0)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IFERROR(__xludf.DUMMYFUNCTION("IMPORTRANGE(""https://docs.google.com/spreadsheets/d/1XL5vhW3sbDhbH9Cz0tuDiY8C3ctxq1tqvaCgkFb8cCA/edit?usp=sharing"",""บึงกาฬ!J30"")"),0)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IFERROR(__xludf.DUMMYFUNCTION("IMPORTRANGE(""https://docs.google.com/spreadsheets/d/1XL5vhW3sbDhbH9Cz0tuDiY8C3ctxq1tqvaCgkFb8cCA/edit?usp=sharing"",""บึงกาฬ!I32"")"),4)</f>
        <v>4</v>
      </c>
      <c r="J92" s="142">
        <f ca="1">IFERROR(__xludf.DUMMYFUNCTION("IMPORTRANGE(""https://docs.google.com/spreadsheets/d/1XL5vhW3sbDhbH9Cz0tuDiY8C3ctxq1tqvaCgkFb8cCA/edit?usp=sharing"",""บึงกาฬ!J32"")"),4)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IFERROR(__xludf.DUMMYFUNCTION("IMPORTRANGE(""https://docs.google.com/spreadsheets/d/1XL5vhW3sbDhbH9Cz0tuDiY8C3ctxq1tqvaCgkFb8cCA/edit?usp=sharing"",""บึงกาฬ!I33"")"),1)</f>
        <v>1</v>
      </c>
      <c r="J93" s="142">
        <f ca="1">IFERROR(__xludf.DUMMYFUNCTION("IMPORTRANGE(""https://docs.google.com/spreadsheets/d/1XL5vhW3sbDhbH9Cz0tuDiY8C3ctxq1tqvaCgkFb8cCA/edit?usp=sharing"",""บึงกาฬ!J33"")"),1)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54" t="s">
        <v>17</v>
      </c>
      <c r="E94" s="555"/>
      <c r="F94" s="555"/>
      <c r="G94" s="555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123980</v>
      </c>
      <c r="O94" s="151">
        <f t="shared" ref="O94:O96" ca="1" si="53">IF(L94&gt;0,N94*100/L94,0)</f>
        <v>57.799533799533798</v>
      </c>
      <c r="P94" s="151">
        <f t="shared" ref="P94:P96" ca="1" si="54">IF(M94&gt;0,N94*100/M94,0)</f>
        <v>57.799533799533798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123980</v>
      </c>
      <c r="O96" s="156">
        <f t="shared" ca="1" si="53"/>
        <v>57.799533799533798</v>
      </c>
      <c r="P96" s="156">
        <f t="shared" ca="1" si="54"/>
        <v>57.799533799533798</v>
      </c>
    </row>
    <row r="97" spans="1:16" ht="21.75" customHeight="1" x14ac:dyDescent="0.45">
      <c r="A97" s="158"/>
      <c r="B97" s="159"/>
      <c r="C97" s="159" t="s">
        <v>16</v>
      </c>
      <c r="D97" s="552" t="s">
        <v>20</v>
      </c>
      <c r="E97" s="553"/>
      <c r="F97" s="55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537">
        <f ca="1">IFERROR(__xludf.DUMMYFUNCTION("IMPORTRANGE(""https://docs.google.com/spreadsheets/d/1Yj_ptqi66GCucihVvJfMjLAmec39IyEx_6qawtMGysU/edit?usp=sharing"",""สบก!AR43"")"),122100)</f>
        <v>122100</v>
      </c>
      <c r="N98" s="538">
        <f ca="1">IFERROR(__xludf.DUMMYFUNCTION("IMPORTRANGE(""https://docs.google.com/spreadsheets/d/1Yj_ptqi66GCucihVvJfMjLAmec39IyEx_6qawtMGysU/edit?usp=sharing"",""สบก!AS43"")"),31580)</f>
        <v>31580</v>
      </c>
      <c r="O98" s="169">
        <f ca="1">IF(L98&gt;0,N98*100/L98,0)</f>
        <v>25.864045864045863</v>
      </c>
      <c r="P98" s="169">
        <f ca="1">IF(M98&gt;0,N98*100/M98,0)</f>
        <v>25.864045864045863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537">
        <f ca="1">IFERROR(__xludf.DUMMYFUNCTION("IMPORTRANGE(""https://docs.google.com/spreadsheets/d/1Yj_ptqi66GCucihVvJfMjLAmec39IyEx_6qawtMGysU/edit?usp=sharing"",""สบก!AN43"")"),0)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537">
        <f ca="1">IFERROR(__xludf.DUMMYFUNCTION("IMPORTRANGE(""https://docs.google.com/spreadsheets/d/1Yj_ptqi66GCucihVvJfMjLAmec39IyEx_6qawtMGysU/edit?usp=sharing"",""สบก!AO43"")"),122100)</f>
        <v>122100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52" t="s">
        <v>23</v>
      </c>
      <c r="E101" s="553"/>
      <c r="F101" s="89"/>
      <c r="G101" s="82" t="s">
        <v>18</v>
      </c>
      <c r="H101" s="172" t="s">
        <v>12</v>
      </c>
      <c r="I101" s="188"/>
      <c r="J101" s="188"/>
      <c r="K101" s="224"/>
      <c r="L101" s="535">
        <v>0</v>
      </c>
      <c r="M101" s="535"/>
      <c r="N101" s="41"/>
      <c r="O101" s="535"/>
      <c r="P101" s="535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533">
        <f ca="1">IFERROR(__xludf.DUMMYFUNCTION("IMPORTRANGE(""https://docs.google.com/spreadsheets/d/1Yj_ptqi66GCucihVvJfMjLAmec39IyEx_6qawtMGysU/edit?usp=sharing"",""สบก!AP43"")"),92400)</f>
        <v>92400</v>
      </c>
      <c r="M102" s="536">
        <f ca="1">L102</f>
        <v>92400</v>
      </c>
      <c r="N102" s="533">
        <f ca="1">IFERROR(__xludf.DUMMYFUNCTION("IMPORTRANGE(""https://docs.google.com/spreadsheets/d/1Yj_ptqi66GCucihVvJfMjLAmec39IyEx_6qawtMGysU/edit?usp=sharing"",""สบก!AT43"")"),92400)</f>
        <v>92400</v>
      </c>
      <c r="O102" s="536">
        <f ca="1">IF(L102&gt;0,N102*100/L102,0)</f>
        <v>100</v>
      </c>
      <c r="P102" s="536">
        <f ca="1">IF(M102&gt;0,N102*100/M102,0)</f>
        <v>100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IFERROR(__xludf.DUMMYFUNCTION("IMPORTRANGE(""https://docs.google.com/spreadsheets/d/1XL5vhW3sbDhbH9Cz0tuDiY8C3ctxq1tqvaCgkFb8cCA/edit?usp=sharing"",""บึงกาฬ!J39"")"),0)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IFERROR(__xludf.DUMMYFUNCTION("IMPORTRANGE(""https://docs.google.com/spreadsheets/d/1XL5vhW3sbDhbH9Cz0tuDiY8C3ctxq1tqvaCgkFb8cCA/edit?usp=sharing"",""บึงกาฬ!J40"")"),1)</f>
        <v>1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IFERROR(__xludf.DUMMYFUNCTION("IMPORTRANGE(""https://docs.google.com/spreadsheets/d/1XL5vhW3sbDhbH9Cz0tuDiY8C3ctxq1tqvaCgkFb8cCA/edit?usp=sharing"",""บึงกาฬ!J41"")"),1)</f>
        <v>1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IFERROR(__xludf.DUMMYFUNCTION("IMPORTRANGE(""https://docs.google.com/spreadsheets/d/1XL5vhW3sbDhbH9Cz0tuDiY8C3ctxq1tqvaCgkFb8cCA/edit?usp=sharing"",""บึงกาฬ!J42"")"),1)</f>
        <v>1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IFERROR(__xludf.DUMMYFUNCTION("IMPORTRANGE(""https://docs.google.com/spreadsheets/d/1XL5vhW3sbDhbH9Cz0tuDiY8C3ctxq1tqvaCgkFb8cCA/edit?usp=sharing"",""บึงกาฬ!I43"")"),1)</f>
        <v>1</v>
      </c>
      <c r="J108" s="204">
        <f ca="1">IFERROR(__xludf.DUMMYFUNCTION("IMPORTRANGE(""https://docs.google.com/spreadsheets/d/1XL5vhW3sbDhbH9Cz0tuDiY8C3ctxq1tqvaCgkFb8cCA/edit?usp=sharing"",""บึงกาฬ!J43"")"),1)</f>
        <v>1</v>
      </c>
      <c r="K108" s="224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IFERROR(__xludf.DUMMYFUNCTION("IMPORTRANGE(""https://docs.google.com/spreadsheets/d/1XL5vhW3sbDhbH9Cz0tuDiY8C3ctxq1tqvaCgkFb8cCA/edit?usp=sharing"",""บึงกาฬ!I44"")"),4)</f>
        <v>4</v>
      </c>
      <c r="J109" s="204">
        <f ca="1">IFERROR(__xludf.DUMMYFUNCTION("IMPORTRANGE(""https://docs.google.com/spreadsheets/d/1XL5vhW3sbDhbH9Cz0tuDiY8C3ctxq1tqvaCgkFb8cCA/edit?usp=sharing"",""บึงกาฬ!J44"")"),4)</f>
        <v>4</v>
      </c>
      <c r="K109" s="224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IFERROR(__xludf.DUMMYFUNCTION("IMPORTRANGE(""https://docs.google.com/spreadsheets/d/1XL5vhW3sbDhbH9Cz0tuDiY8C3ctxq1tqvaCgkFb8cCA/edit?usp=sharing"",""บึงกาฬ!I45"")"),4)</f>
        <v>4</v>
      </c>
      <c r="J110" s="204">
        <f ca="1">IFERROR(__xludf.DUMMYFUNCTION("IMPORTRANGE(""https://docs.google.com/spreadsheets/d/1XL5vhW3sbDhbH9Cz0tuDiY8C3ctxq1tqvaCgkFb8cCA/edit?usp=sharing"",""บึงกาฬ!J45"")"),4)</f>
        <v>4</v>
      </c>
      <c r="K110" s="224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IFERROR(__xludf.DUMMYFUNCTION("IMPORTRANGE(""https://docs.google.com/spreadsheets/d/1XL5vhW3sbDhbH9Cz0tuDiY8C3ctxq1tqvaCgkFb8cCA/edit?usp=sharing"",""บึงกาฬ!I46"")"),4)</f>
        <v>4</v>
      </c>
      <c r="J111" s="204">
        <f ca="1">IFERROR(__xludf.DUMMYFUNCTION("IMPORTRANGE(""https://docs.google.com/spreadsheets/d/1XL5vhW3sbDhbH9Cz0tuDiY8C3ctxq1tqvaCgkFb8cCA/edit?usp=sharing"",""บึงกาฬ!J46"")"),4)</f>
        <v>4</v>
      </c>
      <c r="K111" s="224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IFERROR(__xludf.DUMMYFUNCTION("IMPORTRANGE(""https://docs.google.com/spreadsheets/d/1XL5vhW3sbDhbH9Cz0tuDiY8C3ctxq1tqvaCgkFb8cCA/edit?usp=sharing"",""บึงกาฬ!I47"")"),4)</f>
        <v>4</v>
      </c>
      <c r="J112" s="204">
        <f ca="1">IFERROR(__xludf.DUMMYFUNCTION("IMPORTRANGE(""https://docs.google.com/spreadsheets/d/1XL5vhW3sbDhbH9Cz0tuDiY8C3ctxq1tqvaCgkFb8cCA/edit?usp=sharing"",""บึงกาฬ!J47"")"),4)</f>
        <v>4</v>
      </c>
      <c r="K112" s="224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IFERROR(__xludf.DUMMYFUNCTION("IMPORTRANGE(""https://docs.google.com/spreadsheets/d/1XL5vhW3sbDhbH9Cz0tuDiY8C3ctxq1tqvaCgkFb8cCA/edit?usp=sharing"",""บึงกาฬ!I48"")"),1)</f>
        <v>1</v>
      </c>
      <c r="J113" s="204">
        <f ca="1">IFERROR(__xludf.DUMMYFUNCTION("IMPORTRANGE(""https://docs.google.com/spreadsheets/d/1XL5vhW3sbDhbH9Cz0tuDiY8C3ctxq1tqvaCgkFb8cCA/edit?usp=sharing"",""บึงกาฬ!J48"")"),1)</f>
        <v>1</v>
      </c>
      <c r="K113" s="224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IFERROR(__xludf.DUMMYFUNCTION("IMPORTRANGE(""https://docs.google.com/spreadsheets/d/1XL5vhW3sbDhbH9Cz0tuDiY8C3ctxq1tqvaCgkFb8cCA/edit?usp=sharing"",""บึงกาฬ!J49"")"),0)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IFERROR(__xludf.DUMMYFUNCTION("IMPORTRANGE(""https://docs.google.com/spreadsheets/d/1XL5vhW3sbDhbH9Cz0tuDiY8C3ctxq1tqvaCgkFb8cCA/edit?usp=sharing"",""บึงกาฬ!J50"")"),0)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IFERROR(__xludf.DUMMYFUNCTION("IMPORTRANGE(""https://docs.google.com/spreadsheets/d/1XL5vhW3sbDhbH9Cz0tuDiY8C3ctxq1tqvaCgkFb8cCA/edit?usp=sharing"",""บึงกาฬ!I52"")"),0)</f>
        <v>0</v>
      </c>
      <c r="J117" s="142">
        <f ca="1">IFERROR(__xludf.DUMMYFUNCTION("IMPORTRANGE(""https://docs.google.com/spreadsheets/d/1XL5vhW3sbDhbH9Cz0tuDiY8C3ctxq1tqvaCgkFb8cCA/edit?usp=sharing"",""บึงกาฬ!J52"")"),0)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54" t="s">
        <v>17</v>
      </c>
      <c r="E118" s="555"/>
      <c r="F118" s="555"/>
      <c r="G118" s="55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52" t="s">
        <v>20</v>
      </c>
      <c r="E121" s="553"/>
      <c r="F121" s="55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537">
        <f ca="1">IFERROR(__xludf.DUMMYFUNCTION("IMPORTRANGE(""https://docs.google.com/spreadsheets/d/1Yj_ptqi66GCucihVvJfMjLAmec39IyEx_6qawtMGysU/edit?usp=sharing"",""สบก!BA43"")"),0)</f>
        <v>0</v>
      </c>
      <c r="N122" s="538">
        <f ca="1">IFERROR(__xludf.DUMMYFUNCTION("IMPORTRANGE(""https://docs.google.com/spreadsheets/d/1Yj_ptqi66GCucihVvJfMjLAmec39IyEx_6qawtMGysU/edit?usp=sharing"",""สบก!BB43"")"),0)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537">
        <f ca="1">IFERROR(__xludf.DUMMYFUNCTION("IMPORTRANGE(""https://docs.google.com/spreadsheets/d/1Yj_ptqi66GCucihVvJfMjLAmec39IyEx_6qawtMGysU/edit?usp=sharing"",""สบก!AW43"")"),0)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537">
        <f ca="1">IFERROR(__xludf.DUMMYFUNCTION("IMPORTRANGE(""https://docs.google.com/spreadsheets/d/1Yj_ptqi66GCucihVvJfMjLAmec39IyEx_6qawtMGysU/edit?usp=sharing"",""สบก!AX43"")"),0)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52" t="s">
        <v>23</v>
      </c>
      <c r="E125" s="553"/>
      <c r="F125" s="89"/>
      <c r="G125" s="82" t="s">
        <v>18</v>
      </c>
      <c r="H125" s="172" t="s">
        <v>12</v>
      </c>
      <c r="I125" s="188"/>
      <c r="J125" s="188"/>
      <c r="K125" s="224"/>
      <c r="L125" s="535">
        <v>0</v>
      </c>
      <c r="M125" s="535"/>
      <c r="N125" s="41"/>
      <c r="O125" s="535"/>
      <c r="P125" s="535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533">
        <f ca="1">IFERROR(__xludf.DUMMYFUNCTION("IMPORTRANGE(""https://docs.google.com/spreadsheets/d/1Yj_ptqi66GCucihVvJfMjLAmec39IyEx_6qawtMGysU/edit?usp=sharing"",""สบก!AY43"")"),0)</f>
        <v>0</v>
      </c>
      <c r="M126" s="536"/>
      <c r="N126" s="533">
        <f ca="1">IFERROR(__xludf.DUMMYFUNCTION("IMPORTRANGE(""https://docs.google.com/spreadsheets/d/1Yj_ptqi66GCucihVvJfMjLAmec39IyEx_6qawtMGysU/edit?usp=sharing"",""สบก!BC43"")"),0)</f>
        <v>0</v>
      </c>
      <c r="O126" s="536">
        <f ca="1">IF(L126&gt;0,N126*100/L126,0)</f>
        <v>0</v>
      </c>
      <c r="P126" s="536"/>
    </row>
    <row r="127" spans="1:16" ht="21.75" customHeight="1" x14ac:dyDescent="0.35">
      <c r="A127" s="176"/>
      <c r="B127" s="177"/>
      <c r="C127" s="159" t="s">
        <v>16</v>
      </c>
      <c r="D127" s="233" t="s">
        <v>249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IFERROR(__xludf.DUMMYFUNCTION("IMPORTRANGE(""https://docs.google.com/spreadsheets/d/1XL5vhW3sbDhbH9Cz0tuDiY8C3ctxq1tqvaCgkFb8cCA/edit?usp=sharing"",""บึงกาฬ!J58"")"),0)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IFERROR(__xludf.DUMMYFUNCTION("IMPORTRANGE(""https://docs.google.com/spreadsheets/d/1XL5vhW3sbDhbH9Cz0tuDiY8C3ctxq1tqvaCgkFb8cCA/edit?usp=sharing"",""บึงกาฬ!J59"")"),0)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IFERROR(__xludf.DUMMYFUNCTION("IMPORTRANGE(""https://docs.google.com/spreadsheets/d/1XL5vhW3sbDhbH9Cz0tuDiY8C3ctxq1tqvaCgkFb8cCA/edit?usp=sharing"",""บึงกาฬ!J60"")"),0)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IFERROR(__xludf.DUMMYFUNCTION("IMPORTRANGE(""https://docs.google.com/spreadsheets/d/1XL5vhW3sbDhbH9Cz0tuDiY8C3ctxq1tqvaCgkFb8cCA/edit?usp=sharing"",""บึงกาฬ!J61"")"),0)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IFERROR(__xludf.DUMMYFUNCTION("IMPORTRANGE(""https://docs.google.com/spreadsheets/d/1XL5vhW3sbDhbH9Cz0tuDiY8C3ctxq1tqvaCgkFb8cCA/edit?usp=sharing"",""บึงกาฬ!I62"")"),0)</f>
        <v>0</v>
      </c>
      <c r="J132" s="204">
        <f ca="1">IFERROR(__xludf.DUMMYFUNCTION("IMPORTRANGE(""https://docs.google.com/spreadsheets/d/1XL5vhW3sbDhbH9Cz0tuDiY8C3ctxq1tqvaCgkFb8cCA/edit?usp=sharing"",""บึงกาฬ!J62"")"),0)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IFERROR(__xludf.DUMMYFUNCTION("IMPORTRANGE(""https://docs.google.com/spreadsheets/d/1XL5vhW3sbDhbH9Cz0tuDiY8C3ctxq1tqvaCgkFb8cCA/edit?usp=sharing"",""บึงกาฬ!I63"")"),0)</f>
        <v>0</v>
      </c>
      <c r="J133" s="204">
        <f ca="1">IFERROR(__xludf.DUMMYFUNCTION("IMPORTRANGE(""https://docs.google.com/spreadsheets/d/1XL5vhW3sbDhbH9Cz0tuDiY8C3ctxq1tqvaCgkFb8cCA/edit?usp=sharing"",""บึงกาฬ!J63"")"),0)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IFERROR(__xludf.DUMMYFUNCTION("IMPORTRANGE(""https://docs.google.com/spreadsheets/d/1XL5vhW3sbDhbH9Cz0tuDiY8C3ctxq1tqvaCgkFb8cCA/edit?usp=sharing"",""บึงกาฬ!J64"")"),0)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IFERROR(__xludf.DUMMYFUNCTION("IMPORTRANGE(""https://docs.google.com/spreadsheets/d/1XL5vhW3sbDhbH9Cz0tuDiY8C3ctxq1tqvaCgkFb8cCA/edit?usp=sharing"",""บึงกาฬ!J65"")"),0)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IFERROR(__xludf.DUMMYFUNCTION("IMPORTRANGE(""https://docs.google.com/spreadsheets/d/1XL5vhW3sbDhbH9Cz0tuDiY8C3ctxq1tqvaCgkFb8cCA/edit?usp=sharing"",""บึงกาฬ!I68"")"),0)</f>
        <v>0</v>
      </c>
      <c r="J138" s="267">
        <f ca="1">IFERROR(__xludf.DUMMYFUNCTION("IMPORTRANGE(""https://docs.google.com/spreadsheets/d/1XL5vhW3sbDhbH9Cz0tuDiY8C3ctxq1tqvaCgkFb8cCA/edit?usp=sharing"",""บึงกาฬ!J68"")"),0)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54" t="s">
        <v>17</v>
      </c>
      <c r="E140" s="555"/>
      <c r="F140" s="555"/>
      <c r="G140" s="555"/>
      <c r="H140" s="149" t="s">
        <v>12</v>
      </c>
      <c r="I140" s="162"/>
      <c r="J140" s="162"/>
      <c r="K140" s="163"/>
      <c r="L140" s="152">
        <f t="shared" ref="L140:N140" ca="1" si="64">L141+L142</f>
        <v>176500</v>
      </c>
      <c r="M140" s="152">
        <f t="shared" ca="1" si="64"/>
        <v>173625</v>
      </c>
      <c r="N140" s="152">
        <f t="shared" ca="1" si="64"/>
        <v>124130</v>
      </c>
      <c r="O140" s="151">
        <f t="shared" ref="O140:O142" ca="1" si="65">IF(L140&gt;0,N140*100/L140,0)</f>
        <v>70.328611898017002</v>
      </c>
      <c r="P140" s="151">
        <f t="shared" ref="P140:P142" ca="1" si="66">IF(M140&gt;0,N140*100/M140,0)</f>
        <v>71.493160547156222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176500</v>
      </c>
      <c r="M142" s="157">
        <f t="shared" ca="1" si="68"/>
        <v>173625</v>
      </c>
      <c r="N142" s="157">
        <f t="shared" ca="1" si="68"/>
        <v>124130</v>
      </c>
      <c r="O142" s="156">
        <f t="shared" ca="1" si="65"/>
        <v>70.328611898017002</v>
      </c>
      <c r="P142" s="156">
        <f t="shared" ca="1" si="66"/>
        <v>71.493160547156222</v>
      </c>
    </row>
    <row r="143" spans="1:16" ht="21.75" customHeight="1" x14ac:dyDescent="0.45">
      <c r="A143" s="158"/>
      <c r="B143" s="159"/>
      <c r="C143" s="159" t="s">
        <v>16</v>
      </c>
      <c r="D143" s="552" t="s">
        <v>20</v>
      </c>
      <c r="E143" s="553"/>
      <c r="F143" s="55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176500</v>
      </c>
      <c r="M144" s="537">
        <f ca="1">IFERROR(__xludf.DUMMYFUNCTION("IMPORTRANGE(""https://docs.google.com/spreadsheets/d/1Yj_ptqi66GCucihVvJfMjLAmec39IyEx_6qawtMGysU/edit?usp=sharing"",""สบก!BJ43"")"),173625)</f>
        <v>173625</v>
      </c>
      <c r="N144" s="538">
        <f ca="1">IFERROR(__xludf.DUMMYFUNCTION("IMPORTRANGE(""https://docs.google.com/spreadsheets/d/1Yj_ptqi66GCucihVvJfMjLAmec39IyEx_6qawtMGysU/edit?usp=sharing"",""สบก!BK43"")"),124130)</f>
        <v>124130</v>
      </c>
      <c r="O144" s="169">
        <f ca="1">IF(L144&gt;0,N144*100/L144,0)</f>
        <v>70.328611898017002</v>
      </c>
      <c r="P144" s="169">
        <f ca="1">IF(M144&gt;0,N144*100/M144,0)</f>
        <v>71.493160547156222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537">
        <f ca="1">IFERROR(__xludf.DUMMYFUNCTION("IMPORTRANGE(""https://docs.google.com/spreadsheets/d/1Yj_ptqi66GCucihVvJfMjLAmec39IyEx_6qawtMGysU/edit?usp=sharing"",""สบก!BF43"")"),0)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537">
        <f ca="1">IFERROR(__xludf.DUMMYFUNCTION("IMPORTRANGE(""https://docs.google.com/spreadsheets/d/1Yj_ptqi66GCucihVvJfMjLAmec39IyEx_6qawtMGysU/edit?usp=sharing"",""สบก!BG43"")"),176500)</f>
        <v>176500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52" t="s">
        <v>23</v>
      </c>
      <c r="E147" s="553"/>
      <c r="F147" s="89"/>
      <c r="G147" s="82" t="s">
        <v>18</v>
      </c>
      <c r="H147" s="172" t="s">
        <v>12</v>
      </c>
      <c r="I147" s="188"/>
      <c r="J147" s="188"/>
      <c r="K147" s="224"/>
      <c r="L147" s="535">
        <v>0</v>
      </c>
      <c r="M147" s="535"/>
      <c r="N147" s="41"/>
      <c r="O147" s="535"/>
      <c r="P147" s="535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533">
        <f ca="1">IFERROR(__xludf.DUMMYFUNCTION("IMPORTRANGE(""https://docs.google.com/spreadsheets/d/1Yj_ptqi66GCucihVvJfMjLAmec39IyEx_6qawtMGysU/edit?usp=sharing"",""สบก!BH43"")"),0)</f>
        <v>0</v>
      </c>
      <c r="M148" s="536"/>
      <c r="N148" s="533">
        <f ca="1">IFERROR(__xludf.DUMMYFUNCTION("IMPORTRANGE(""https://docs.google.com/spreadsheets/d/1Yj_ptqi66GCucihVvJfMjLAmec39IyEx_6qawtMGysU/edit?usp=sharing"",""สบก!BL43"")"),0)</f>
        <v>0</v>
      </c>
      <c r="O148" s="536">
        <f ca="1">IF(L148&gt;0,N148*100/L148,0)</f>
        <v>0</v>
      </c>
      <c r="P148" s="536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IFERROR(__xludf.DUMMYFUNCTION("IMPORTRANGE(""https://docs.google.com/spreadsheets/d/1XL5vhW3sbDhbH9Cz0tuDiY8C3ctxq1tqvaCgkFb8cCA/edit?usp=sharing"",""บึงกาฬ!I74"")"),4)</f>
        <v>4</v>
      </c>
      <c r="J149" s="275">
        <f ca="1">IFERROR(__xludf.DUMMYFUNCTION("IMPORTRANGE(""https://docs.google.com/spreadsheets/d/1XL5vhW3sbDhbH9Cz0tuDiY8C3ctxq1tqvaCgkFb8cCA/edit?usp=sharing"",""บึงกาฬ!J74"")"),2)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IFERROR(__xludf.DUMMYFUNCTION("IMPORTRANGE(""https://docs.google.com/spreadsheets/d/1XL5vhW3sbDhbH9Cz0tuDiY8C3ctxq1tqvaCgkFb8cCA/edit?usp=sharing"",""บึงกาฬ!J79"")"),0)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IFERROR(__xludf.DUMMYFUNCTION("IMPORTRANGE(""https://docs.google.com/spreadsheets/d/1XL5vhW3sbDhbH9Cz0tuDiY8C3ctxq1tqvaCgkFb8cCA/edit?usp=sharing"",""บึงกาฬ!J80"")"),1)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IFERROR(__xludf.DUMMYFUNCTION("IMPORTRANGE(""https://docs.google.com/spreadsheets/d/1XL5vhW3sbDhbH9Cz0tuDiY8C3ctxq1tqvaCgkFb8cCA/edit?usp=sharing"",""บึงกาฬ!J81"")"),1)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IFERROR(__xludf.DUMMYFUNCTION("IMPORTRANGE(""https://docs.google.com/spreadsheets/d/1XL5vhW3sbDhbH9Cz0tuDiY8C3ctxq1tqvaCgkFb8cCA/edit?usp=sharing"",""บึงกาฬ!J82"")"),1)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IFERROR(__xludf.DUMMYFUNCTION("IMPORTRANGE(""https://docs.google.com/spreadsheets/d/1XL5vhW3sbDhbH9Cz0tuDiY8C3ctxq1tqvaCgkFb8cCA/edit?usp=sharing"",""บึงกาฬ!I83"")"),4)</f>
        <v>4</v>
      </c>
      <c r="J158" s="189">
        <f ca="1">IFERROR(__xludf.DUMMYFUNCTION("IMPORTRANGE(""https://docs.google.com/spreadsheets/d/1XL5vhW3sbDhbH9Cz0tuDiY8C3ctxq1tqvaCgkFb8cCA/edit?usp=sharing"",""บึงกาฬ!J83"")"),2)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IFERROR(__xludf.DUMMYFUNCTION("IMPORTRANGE(""https://docs.google.com/spreadsheets/d/1XL5vhW3sbDhbH9Cz0tuDiY8C3ctxq1tqvaCgkFb8cCA/edit?usp=sharing"",""บึงกาฬ!J84"")"),30)</f>
        <v>30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IFERROR(__xludf.DUMMYFUNCTION("IMPORTRANGE(""https://docs.google.com/spreadsheets/d/1XL5vhW3sbDhbH9Cz0tuDiY8C3ctxq1tqvaCgkFb8cCA/edit?usp=sharing"",""บึงกาฬ!J85"")"),30)</f>
        <v>30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IFERROR(__xludf.DUMMYFUNCTION("IMPORTRANGE(""https://docs.google.com/spreadsheets/d/1XL5vhW3sbDhbH9Cz0tuDiY8C3ctxq1tqvaCgkFb8cCA/edit?usp=sharing"",""บึงกาฬ!J86"")"),0)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IFERROR(__xludf.DUMMYFUNCTION("IMPORTRANGE(""https://docs.google.com/spreadsheets/d/1XL5vhW3sbDhbH9Cz0tuDiY8C3ctxq1tqvaCgkFb8cCA/edit?usp=sharing"",""บึงกาฬ!J87"")"),0)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IFERROR(__xludf.DUMMYFUNCTION("IMPORTRANGE(""https://docs.google.com/spreadsheets/d/1XL5vhW3sbDhbH9Cz0tuDiY8C3ctxq1tqvaCgkFb8cCA/edit?usp=sharing"",""บึงกาฬ!J88"")"),0)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IFERROR(__xludf.DUMMYFUNCTION("IMPORTRANGE(""https://docs.google.com/spreadsheets/d/1XL5vhW3sbDhbH9Cz0tuDiY8C3ctxq1tqvaCgkFb8cCA/edit?usp=sharing"",""บึงกาฬ!I89"")"),5)</f>
        <v>5</v>
      </c>
      <c r="J164" s="284">
        <f ca="1">IFERROR(__xludf.DUMMYFUNCTION("IMPORTRANGE(""https://docs.google.com/spreadsheets/d/1XL5vhW3sbDhbH9Cz0tuDiY8C3ctxq1tqvaCgkFb8cCA/edit?usp=sharing"",""บึงกาฬ!J89"")"),5)</f>
        <v>5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IFERROR(__xludf.DUMMYFUNCTION("IMPORTRANGE(""https://docs.google.com/spreadsheets/d/1XL5vhW3sbDhbH9Cz0tuDiY8C3ctxq1tqvaCgkFb8cCA/edit?usp=sharing"",""บึงกาฬ!J94"")"),0)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IFERROR(__xludf.DUMMYFUNCTION("IMPORTRANGE(""https://docs.google.com/spreadsheets/d/1XL5vhW3sbDhbH9Cz0tuDiY8C3ctxq1tqvaCgkFb8cCA/edit?usp=sharing"",""บึงกาฬ!J95"")"),1)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IFERROR(__xludf.DUMMYFUNCTION("IMPORTRANGE(""https://docs.google.com/spreadsheets/d/1XL5vhW3sbDhbH9Cz0tuDiY8C3ctxq1tqvaCgkFb8cCA/edit?usp=sharing"",""บึงกาฬ!J96"")"),1)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IFERROR(__xludf.DUMMYFUNCTION("IMPORTRANGE(""https://docs.google.com/spreadsheets/d/1XL5vhW3sbDhbH9Cz0tuDiY8C3ctxq1tqvaCgkFb8cCA/edit?usp=sharing"",""บึงกาฬ!J97"")"),1)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IFERROR(__xludf.DUMMYFUNCTION("IMPORTRANGE(""https://docs.google.com/spreadsheets/d/1XL5vhW3sbDhbH9Cz0tuDiY8C3ctxq1tqvaCgkFb8cCA/edit?usp=sharing"",""บึงกาฬ!I98"")"),5)</f>
        <v>5</v>
      </c>
      <c r="J173" s="189">
        <f ca="1">IFERROR(__xludf.DUMMYFUNCTION("IMPORTRANGE(""https://docs.google.com/spreadsheets/d/1XL5vhW3sbDhbH9Cz0tuDiY8C3ctxq1tqvaCgkFb8cCA/edit?usp=sharing"",""บึงกาฬ!J98"")"),5)</f>
        <v>5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IFERROR(__xludf.DUMMYFUNCTION("IMPORTRANGE(""https://docs.google.com/spreadsheets/d/1XL5vhW3sbDhbH9Cz0tuDiY8C3ctxq1tqvaCgkFb8cCA/edit?usp=sharing"",""บึงกาฬ!J99"")"),1)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IFERROR(__xludf.DUMMYFUNCTION("IMPORTRANGE(""https://docs.google.com/spreadsheets/d/1XL5vhW3sbDhbH9Cz0tuDiY8C3ctxq1tqvaCgkFb8cCA/edit?usp=sharing"",""บึงกาฬ!J100"")"),1)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IFERROR(__xludf.DUMMYFUNCTION("IMPORTRANGE(""https://docs.google.com/spreadsheets/d/1XL5vhW3sbDhbH9Cz0tuDiY8C3ctxq1tqvaCgkFb8cCA/edit?usp=sharing"",""บึงกาฬ!I101"")"),6)</f>
        <v>6</v>
      </c>
      <c r="J176" s="284">
        <f ca="1">IFERROR(__xludf.DUMMYFUNCTION("IMPORTRANGE(""https://docs.google.com/spreadsheets/d/1XL5vhW3sbDhbH9Cz0tuDiY8C3ctxq1tqvaCgkFb8cCA/edit?usp=sharing"",""บึงกาฬ!J101"")"),6)</f>
        <v>6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IFERROR(__xludf.DUMMYFUNCTION("IMPORTRANGE(""https://docs.google.com/spreadsheets/d/1XL5vhW3sbDhbH9Cz0tuDiY8C3ctxq1tqvaCgkFb8cCA/edit?usp=sharing"",""บึงกาฬ!J106"")"),0)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IFERROR(__xludf.DUMMYFUNCTION("IMPORTRANGE(""https://docs.google.com/spreadsheets/d/1XL5vhW3sbDhbH9Cz0tuDiY8C3ctxq1tqvaCgkFb8cCA/edit?usp=sharing"",""บึงกาฬ!J107"")"),1)</f>
        <v>1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IFERROR(__xludf.DUMMYFUNCTION("IMPORTRANGE(""https://docs.google.com/spreadsheets/d/1XL5vhW3sbDhbH9Cz0tuDiY8C3ctxq1tqvaCgkFb8cCA/edit?usp=sharing"",""บึงกาฬ!J108"")"),1)</f>
        <v>1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IFERROR(__xludf.DUMMYFUNCTION("IMPORTRANGE(""https://docs.google.com/spreadsheets/d/1XL5vhW3sbDhbH9Cz0tuDiY8C3ctxq1tqvaCgkFb8cCA/edit?usp=sharing"",""บึงกาฬ!J109"")"),1)</f>
        <v>1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IFERROR(__xludf.DUMMYFUNCTION("IMPORTRANGE(""https://docs.google.com/spreadsheets/d/1XL5vhW3sbDhbH9Cz0tuDiY8C3ctxq1tqvaCgkFb8cCA/edit?usp=sharing"",""บึงกาฬ!I110"")"),6)</f>
        <v>6</v>
      </c>
      <c r="J185" s="204">
        <f ca="1">IFERROR(__xludf.DUMMYFUNCTION("IMPORTRANGE(""https://docs.google.com/spreadsheets/d/1XL5vhW3sbDhbH9Cz0tuDiY8C3ctxq1tqvaCgkFb8cCA/edit?usp=sharing"",""บึงกาฬ!J110"")"),0)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IFERROR(__xludf.DUMMYFUNCTION("IMPORTRANGE(""https://docs.google.com/spreadsheets/d/1XL5vhW3sbDhbH9Cz0tuDiY8C3ctxq1tqvaCgkFb8cCA/edit?usp=sharing"",""บึงกาฬ!I111"")"),6)</f>
        <v>6</v>
      </c>
      <c r="J186" s="204">
        <f ca="1">IFERROR(__xludf.DUMMYFUNCTION("IMPORTRANGE(""https://docs.google.com/spreadsheets/d/1XL5vhW3sbDhbH9Cz0tuDiY8C3ctxq1tqvaCgkFb8cCA/edit?usp=sharing"",""บึงกาฬ!J111"")"),6)</f>
        <v>6</v>
      </c>
      <c r="K186" s="224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IFERROR(__xludf.DUMMYFUNCTION("IMPORTRANGE(""https://docs.google.com/spreadsheets/d/1XL5vhW3sbDhbH9Cz0tuDiY8C3ctxq1tqvaCgkFb8cCA/edit?usp=sharing"",""บึงกาฬ!J112"")"),0)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IFERROR(__xludf.DUMMYFUNCTION("IMPORTRANGE(""https://docs.google.com/spreadsheets/d/1XL5vhW3sbDhbH9Cz0tuDiY8C3ctxq1tqvaCgkFb8cCA/edit?usp=sharing"",""บึงกาฬ!J113"")"),0)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IFERROR(__xludf.DUMMYFUNCTION("IMPORTRANGE(""https://docs.google.com/spreadsheets/d/1XL5vhW3sbDhbH9Cz0tuDiY8C3ctxq1tqvaCgkFb8cCA/edit?usp=sharing"",""บึงกาฬ!I114"")"),20000)</f>
        <v>20000</v>
      </c>
      <c r="J189" s="284">
        <f ca="1">IFERROR(__xludf.DUMMYFUNCTION("IMPORTRANGE(""https://docs.google.com/spreadsheets/d/1XL5vhW3sbDhbH9Cz0tuDiY8C3ctxq1tqvaCgkFb8cCA/edit?usp=sharing"",""บึงกาฬ!J114"")"),0)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IFERROR(__xludf.DUMMYFUNCTION("IMPORTRANGE(""https://docs.google.com/spreadsheets/d/1XL5vhW3sbDhbH9Cz0tuDiY8C3ctxq1tqvaCgkFb8cCA/edit?usp=sharing"",""บึงกาฬ!J119"")"),0)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IFERROR(__xludf.DUMMYFUNCTION("IMPORTRANGE(""https://docs.google.com/spreadsheets/d/1XL5vhW3sbDhbH9Cz0tuDiY8C3ctxq1tqvaCgkFb8cCA/edit?usp=sharing"",""บึงกาฬ!J120"")"),1)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IFERROR(__xludf.DUMMYFUNCTION("IMPORTRANGE(""https://docs.google.com/spreadsheets/d/1XL5vhW3sbDhbH9Cz0tuDiY8C3ctxq1tqvaCgkFb8cCA/edit?usp=sharing"",""บึงกาฬ!J121"")"),1)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IFERROR(__xludf.DUMMYFUNCTION("IMPORTRANGE(""https://docs.google.com/spreadsheets/d/1XL5vhW3sbDhbH9Cz0tuDiY8C3ctxq1tqvaCgkFb8cCA/edit?usp=sharing"",""บึงกาฬ!J122"")"),1)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IFERROR(__xludf.DUMMYFUNCTION("IMPORTRANGE(""https://docs.google.com/spreadsheets/d/1XL5vhW3sbDhbH9Cz0tuDiY8C3ctxq1tqvaCgkFb8cCA/edit?usp=sharing"",""บึงกาฬ!I124"")"),20000)</f>
        <v>20000</v>
      </c>
      <c r="J199" s="189">
        <f ca="1">IFERROR(__xludf.DUMMYFUNCTION("IMPORTRANGE(""https://docs.google.com/spreadsheets/d/1XL5vhW3sbDhbH9Cz0tuDiY8C3ctxq1tqvaCgkFb8cCA/edit?usp=sharing"",""บึงกาฬ!J124"")"),0)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IFERROR(__xludf.DUMMYFUNCTION("IMPORTRANGE(""https://docs.google.com/spreadsheets/d/1XL5vhW3sbDhbH9Cz0tuDiY8C3ctxq1tqvaCgkFb8cCA/edit?usp=sharing"",""บึงกาฬ!I125"")"),20000)</f>
        <v>20000</v>
      </c>
      <c r="J200" s="189">
        <f ca="1">IFERROR(__xludf.DUMMYFUNCTION("IMPORTRANGE(""https://docs.google.com/spreadsheets/d/1XL5vhW3sbDhbH9Cz0tuDiY8C3ctxq1tqvaCgkFb8cCA/edit?usp=sharing"",""บึงกาฬ!J125"")"),0)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IFERROR(__xludf.DUMMYFUNCTION("IMPORTRANGE(""https://docs.google.com/spreadsheets/d/1XL5vhW3sbDhbH9Cz0tuDiY8C3ctxq1tqvaCgkFb8cCA/edit?usp=sharing"",""บึงกาฬ!I126"")"),0)</f>
        <v>0</v>
      </c>
      <c r="J201" s="189">
        <f ca="1">IFERROR(__xludf.DUMMYFUNCTION("IMPORTRANGE(""https://docs.google.com/spreadsheets/d/1XL5vhW3sbDhbH9Cz0tuDiY8C3ctxq1tqvaCgkFb8cCA/edit?usp=sharing"",""บึงกาฬ!J126"")"),0)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IFERROR(__xludf.DUMMYFUNCTION("IMPORTRANGE(""https://docs.google.com/spreadsheets/d/1XL5vhW3sbDhbH9Cz0tuDiY8C3ctxq1tqvaCgkFb8cCA/edit?usp=sharing"",""บึงกาฬ!J127"")"),0)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IFERROR(__xludf.DUMMYFUNCTION("IMPORTRANGE(""https://docs.google.com/spreadsheets/d/1XL5vhW3sbDhbH9Cz0tuDiY8C3ctxq1tqvaCgkFb8cCA/edit?usp=sharing"",""บึงกาฬ!J128"")"),0)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IFERROR(__xludf.DUMMYFUNCTION("IMPORTRANGE(""https://docs.google.com/spreadsheets/d/1XL5vhW3sbDhbH9Cz0tuDiY8C3ctxq1tqvaCgkFb8cCA/edit?usp=sharing"",""บึงกาฬ!I129"")"),0)</f>
        <v>0</v>
      </c>
      <c r="J204" s="284">
        <f ca="1">IFERROR(__xludf.DUMMYFUNCTION("IMPORTRANGE(""https://docs.google.com/spreadsheets/d/1XL5vhW3sbDhbH9Cz0tuDiY8C3ctxq1tqvaCgkFb8cCA/edit?usp=sharing"",""บึงกาฬ!J129"")"),0)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IFERROR(__xludf.DUMMYFUNCTION("IMPORTRANGE(""https://docs.google.com/spreadsheets/d/1XL5vhW3sbDhbH9Cz0tuDiY8C3ctxq1tqvaCgkFb8cCA/edit?usp=sharing"",""บึงกาฬ!J134"")"),0)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IFERROR(__xludf.DUMMYFUNCTION("IMPORTRANGE(""https://docs.google.com/spreadsheets/d/1XL5vhW3sbDhbH9Cz0tuDiY8C3ctxq1tqvaCgkFb8cCA/edit?usp=sharing"",""บึงกาฬ!J135"")"),0)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IFERROR(__xludf.DUMMYFUNCTION("IMPORTRANGE(""https://docs.google.com/spreadsheets/d/1XL5vhW3sbDhbH9Cz0tuDiY8C3ctxq1tqvaCgkFb8cCA/edit?usp=sharing"",""บึงกาฬ!J136"")"),0)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IFERROR(__xludf.DUMMYFUNCTION("IMPORTRANGE(""https://docs.google.com/spreadsheets/d/1XL5vhW3sbDhbH9Cz0tuDiY8C3ctxq1tqvaCgkFb8cCA/edit?usp=sharing"",""บึงกาฬ!J137"")"),0)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IFERROR(__xludf.DUMMYFUNCTION("IMPORTRANGE(""https://docs.google.com/spreadsheets/d/1XL5vhW3sbDhbH9Cz0tuDiY8C3ctxq1tqvaCgkFb8cCA/edit?usp=sharing"",""บึงกาฬ!I138"")"),0)</f>
        <v>0</v>
      </c>
      <c r="J213" s="204">
        <f ca="1">IFERROR(__xludf.DUMMYFUNCTION("IMPORTRANGE(""https://docs.google.com/spreadsheets/d/1XL5vhW3sbDhbH9Cz0tuDiY8C3ctxq1tqvaCgkFb8cCA/edit?usp=sharing"",""บึงกาฬ!J138"")"),0)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IFERROR(__xludf.DUMMYFUNCTION("IMPORTRANGE(""https://docs.google.com/spreadsheets/d/1XL5vhW3sbDhbH9Cz0tuDiY8C3ctxq1tqvaCgkFb8cCA/edit?usp=sharing"",""บึงกาฬ!I140"")"),0)</f>
        <v>0</v>
      </c>
      <c r="J215" s="204">
        <f ca="1">IFERROR(__xludf.DUMMYFUNCTION("IMPORTRANGE(""https://docs.google.com/spreadsheets/d/1XL5vhW3sbDhbH9Cz0tuDiY8C3ctxq1tqvaCgkFb8cCA/edit?usp=sharing"",""บึงกาฬ!J140"")"),0)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IFERROR(__xludf.DUMMYFUNCTION("IMPORTRANGE(""https://docs.google.com/spreadsheets/d/1XL5vhW3sbDhbH9Cz0tuDiY8C3ctxq1tqvaCgkFb8cCA/edit?usp=sharing"",""บึงกาฬ!I141"")"),0)</f>
        <v>0</v>
      </c>
      <c r="J216" s="204">
        <f ca="1">IFERROR(__xludf.DUMMYFUNCTION("IMPORTRANGE(""https://docs.google.com/spreadsheets/d/1XL5vhW3sbDhbH9Cz0tuDiY8C3ctxq1tqvaCgkFb8cCA/edit?usp=sharing"",""บึงกาฬ!J141"")"),0)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IFERROR(__xludf.DUMMYFUNCTION("IMPORTRANGE(""https://docs.google.com/spreadsheets/d/1XL5vhW3sbDhbH9Cz0tuDiY8C3ctxq1tqvaCgkFb8cCA/edit?usp=sharing"",""บึงกาฬ!J142"")"),0)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IFERROR(__xludf.DUMMYFUNCTION("IMPORTRANGE(""https://docs.google.com/spreadsheets/d/1XL5vhW3sbDhbH9Cz0tuDiY8C3ctxq1tqvaCgkFb8cCA/edit?usp=sharing"",""บึงกาฬ!J143"")"),0)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IFERROR(__xludf.DUMMYFUNCTION("IMPORTRANGE(""https://docs.google.com/spreadsheets/d/1XL5vhW3sbDhbH9Cz0tuDiY8C3ctxq1tqvaCgkFb8cCA/edit?usp=sharing"",""บึงกาฬ!I144"")"),14)</f>
        <v>14</v>
      </c>
      <c r="J219" s="267">
        <f ca="1">IFERROR(__xludf.DUMMYFUNCTION("IMPORTRANGE(""https://docs.google.com/spreadsheets/d/1XL5vhW3sbDhbH9Cz0tuDiY8C3ctxq1tqvaCgkFb8cCA/edit?usp=sharing"",""บึงกาฬ!J144"")"),14)</f>
        <v>14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54" t="s">
        <v>17</v>
      </c>
      <c r="E220" s="555"/>
      <c r="F220" s="555"/>
      <c r="G220" s="555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20196</v>
      </c>
      <c r="O220" s="151">
        <f t="shared" ref="O220:O222" ca="1" si="73">IF(L220&gt;0,N220*100/L220,0)</f>
        <v>99.930727362691741</v>
      </c>
      <c r="P220" s="151">
        <f t="shared" ref="P220:P222" ca="1" si="74">IF(M220&gt;0,N220*100/M220,0)</f>
        <v>99.930727362691741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20196</v>
      </c>
      <c r="O222" s="156">
        <f t="shared" ca="1" si="73"/>
        <v>99.930727362691741</v>
      </c>
      <c r="P222" s="156">
        <f t="shared" ca="1" si="74"/>
        <v>99.930727362691741</v>
      </c>
    </row>
    <row r="223" spans="1:16" ht="21.75" customHeight="1" x14ac:dyDescent="0.45">
      <c r="A223" s="158"/>
      <c r="B223" s="159"/>
      <c r="C223" s="159" t="s">
        <v>16</v>
      </c>
      <c r="D223" s="552" t="s">
        <v>20</v>
      </c>
      <c r="E223" s="553"/>
      <c r="F223" s="55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537">
        <f ca="1">IFERROR(__xludf.DUMMYFUNCTION("IMPORTRANGE(""https://docs.google.com/spreadsheets/d/1Yj_ptqi66GCucihVvJfMjLAmec39IyEx_6qawtMGysU/edit?usp=sharing"",""สบก!BS43"")"),20210)</f>
        <v>20210</v>
      </c>
      <c r="N224" s="538">
        <f ca="1">IFERROR(__xludf.DUMMYFUNCTION("IMPORTRANGE(""https://docs.google.com/spreadsheets/d/1Yj_ptqi66GCucihVvJfMjLAmec39IyEx_6qawtMGysU/edit?usp=sharing"",""สบก!BT43"")"),20196)</f>
        <v>20196</v>
      </c>
      <c r="O224" s="169">
        <f ca="1">IF(L224&gt;0,N224*100/L224,0)</f>
        <v>99.930727362691741</v>
      </c>
      <c r="P224" s="169">
        <f ca="1">IF(M224&gt;0,N224*100/M224,0)</f>
        <v>99.930727362691741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537">
        <f ca="1">IFERROR(__xludf.DUMMYFUNCTION("IMPORTRANGE(""https://docs.google.com/spreadsheets/d/1Yj_ptqi66GCucihVvJfMjLAmec39IyEx_6qawtMGysU/edit?usp=sharing"",""สบก!BO43"")"),0)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537">
        <f ca="1">IFERROR(__xludf.DUMMYFUNCTION("IMPORTRANGE(""https://docs.google.com/spreadsheets/d/1Yj_ptqi66GCucihVvJfMjLAmec39IyEx_6qawtMGysU/edit?usp=sharing"",""สบก!BP43"")"),20210)</f>
        <v>20210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52" t="s">
        <v>23</v>
      </c>
      <c r="E227" s="553"/>
      <c r="F227" s="89"/>
      <c r="G227" s="82" t="s">
        <v>18</v>
      </c>
      <c r="H227" s="172" t="s">
        <v>12</v>
      </c>
      <c r="I227" s="201"/>
      <c r="J227" s="201"/>
      <c r="K227" s="290"/>
      <c r="L227" s="535">
        <v>0</v>
      </c>
      <c r="M227" s="535"/>
      <c r="N227" s="41"/>
      <c r="O227" s="535"/>
      <c r="P227" s="535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533">
        <f ca="1">IFERROR(__xludf.DUMMYFUNCTION("IMPORTRANGE(""https://docs.google.com/spreadsheets/d/1Yj_ptqi66GCucihVvJfMjLAmec39IyEx_6qawtMGysU/edit?usp=sharing"",""สบก!BQ43"")"),0)</f>
        <v>0</v>
      </c>
      <c r="M228" s="536"/>
      <c r="N228" s="533">
        <f ca="1">IFERROR(__xludf.DUMMYFUNCTION("IMPORTRANGE(""https://docs.google.com/spreadsheets/d/1Yj_ptqi66GCucihVvJfMjLAmec39IyEx_6qawtMGysU/edit?usp=sharing"",""สบก!BU43"")"),0)</f>
        <v>0</v>
      </c>
      <c r="O228" s="536">
        <f ca="1">IF(L228&gt;0,N228*100/L228,0)</f>
        <v>0</v>
      </c>
      <c r="P228" s="536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IFERROR(__xludf.DUMMYFUNCTION("IMPORTRANGE(""https://docs.google.com/spreadsheets/d/1XL5vhW3sbDhbH9Cz0tuDiY8C3ctxq1tqvaCgkFb8cCA/edit?usp=sharing"",""บึงกาฬ!I149"")"),14)</f>
        <v>14</v>
      </c>
      <c r="J229" s="267">
        <f ca="1">IFERROR(__xludf.DUMMYFUNCTION("IMPORTRANGE(""https://docs.google.com/spreadsheets/d/1XL5vhW3sbDhbH9Cz0tuDiY8C3ctxq1tqvaCgkFb8cCA/edit?usp=sharing"",""บึงกาฬ!J149"")"),14)</f>
        <v>14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IFERROR(__xludf.DUMMYFUNCTION("IMPORTRANGE(""https://docs.google.com/spreadsheets/d/1XL5vhW3sbDhbH9Cz0tuDiY8C3ctxq1tqvaCgkFb8cCA/edit?usp=sharing"",""บึงกาฬ!J151"")"),0)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IFERROR(__xludf.DUMMYFUNCTION("IMPORTRANGE(""https://docs.google.com/spreadsheets/d/1XL5vhW3sbDhbH9Cz0tuDiY8C3ctxq1tqvaCgkFb8cCA/edit?usp=sharing"",""บึงกาฬ!J152"")"),1)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IFERROR(__xludf.DUMMYFUNCTION("IMPORTRANGE(""https://docs.google.com/spreadsheets/d/1XL5vhW3sbDhbH9Cz0tuDiY8C3ctxq1tqvaCgkFb8cCA/edit?usp=sharing"",""บึงกาฬ!J153"")"),1)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IFERROR(__xludf.DUMMYFUNCTION("IMPORTRANGE(""https://docs.google.com/spreadsheets/d/1XL5vhW3sbDhbH9Cz0tuDiY8C3ctxq1tqvaCgkFb8cCA/edit?usp=sharing"",""บึงกาฬ!J154"")"),0)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IFERROR(__xludf.DUMMYFUNCTION("IMPORTRANGE(""https://docs.google.com/spreadsheets/d/1XL5vhW3sbDhbH9Cz0tuDiY8C3ctxq1tqvaCgkFb8cCA/edit?usp=sharing"",""บึงกาฬ!I155"")"),14)</f>
        <v>14</v>
      </c>
      <c r="J235" s="189">
        <f ca="1">IFERROR(__xludf.DUMMYFUNCTION("IMPORTRANGE(""https://docs.google.com/spreadsheets/d/1XL5vhW3sbDhbH9Cz0tuDiY8C3ctxq1tqvaCgkFb8cCA/edit?usp=sharing"",""บึงกาฬ!J155"")"),14)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IFERROR(__xludf.DUMMYFUNCTION("IMPORTRANGE(""https://docs.google.com/spreadsheets/d/1XL5vhW3sbDhbH9Cz0tuDiY8C3ctxq1tqvaCgkFb8cCA/edit?usp=sharing"",""บึงกาฬ!J156"")"),0)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IFERROR(__xludf.DUMMYFUNCTION("IMPORTRANGE(""https://docs.google.com/spreadsheets/d/1XL5vhW3sbDhbH9Cz0tuDiY8C3ctxq1tqvaCgkFb8cCA/edit?usp=sharing"",""บึงกาฬ!J157"")"),0)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IFERROR(__xludf.DUMMYFUNCTION("IMPORTRANGE(""https://docs.google.com/spreadsheets/d/1XL5vhW3sbDhbH9Cz0tuDiY8C3ctxq1tqvaCgkFb8cCA/edit?usp=sharing"",""บึงกาฬ!I158"")"),0)</f>
        <v>0</v>
      </c>
      <c r="J238" s="267">
        <f ca="1">IFERROR(__xludf.DUMMYFUNCTION("IMPORTRANGE(""https://docs.google.com/spreadsheets/d/1XL5vhW3sbDhbH9Cz0tuDiY8C3ctxq1tqvaCgkFb8cCA/edit?usp=sharing"",""บึงกาฬ!J158"")"),0)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IFERROR(__xludf.DUMMYFUNCTION("IMPORTRANGE(""https://docs.google.com/spreadsheets/d/1XL5vhW3sbDhbH9Cz0tuDiY8C3ctxq1tqvaCgkFb8cCA/edit?usp=sharing"",""บึงกาฬ!J159"")"),"")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IFERROR(__xludf.DUMMYFUNCTION("IMPORTRANGE(""https://docs.google.com/spreadsheets/d/1XL5vhW3sbDhbH9Cz0tuDiY8C3ctxq1tqvaCgkFb8cCA/edit?usp=sharing"",""บึงกาฬ!J161"")"),0)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IFERROR(__xludf.DUMMYFUNCTION("IMPORTRANGE(""https://docs.google.com/spreadsheets/d/1XL5vhW3sbDhbH9Cz0tuDiY8C3ctxq1tqvaCgkFb8cCA/edit?usp=sharing"",""บึงกาฬ!J162"")"),0)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IFERROR(__xludf.DUMMYFUNCTION("IMPORTRANGE(""https://docs.google.com/spreadsheets/d/1XL5vhW3sbDhbH9Cz0tuDiY8C3ctxq1tqvaCgkFb8cCA/edit?usp=sharing"",""บึงกาฬ!J163"")"),0)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IFERROR(__xludf.DUMMYFUNCTION("IMPORTRANGE(""https://docs.google.com/spreadsheets/d/1XL5vhW3sbDhbH9Cz0tuDiY8C3ctxq1tqvaCgkFb8cCA/edit?usp=sharing"",""บึงกาฬ!I164"")"),0)</f>
        <v>0</v>
      </c>
      <c r="J244" s="188">
        <f ca="1">IFERROR(__xludf.DUMMYFUNCTION("IMPORTRANGE(""https://docs.google.com/spreadsheets/d/1XL5vhW3sbDhbH9Cz0tuDiY8C3ctxq1tqvaCgkFb8cCA/edit?usp=sharing"",""บึงกาฬ!J164"")"),0)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IFERROR(__xludf.DUMMYFUNCTION("IMPORTRANGE(""https://docs.google.com/spreadsheets/d/1XL5vhW3sbDhbH9Cz0tuDiY8C3ctxq1tqvaCgkFb8cCA/edit?usp=sharing"",""บึงกาฬ!J165"")"),0)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IFERROR(__xludf.DUMMYFUNCTION("IMPORTRANGE(""https://docs.google.com/spreadsheets/d/1XL5vhW3sbDhbH9Cz0tuDiY8C3ctxq1tqvaCgkFb8cCA/edit?usp=sharing"",""บึงกาฬ!J166"")"),0)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IFERROR(__xludf.DUMMYFUNCTION("IMPORTRANGE(""https://docs.google.com/spreadsheets/d/1XL5vhW3sbDhbH9Cz0tuDiY8C3ctxq1tqvaCgkFb8cCA/edit?usp=sharing"",""บึงกาฬ!I169"")"),0)</f>
        <v>0</v>
      </c>
      <c r="J249" s="316">
        <f ca="1">IFERROR(__xludf.DUMMYFUNCTION("IMPORTRANGE(""https://docs.google.com/spreadsheets/d/1XL5vhW3sbDhbH9Cz0tuDiY8C3ctxq1tqvaCgkFb8cCA/edit?usp=sharing"",""บึงกาฬ!J169"")"),0)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54" t="s">
        <v>17</v>
      </c>
      <c r="E250" s="555"/>
      <c r="F250" s="555"/>
      <c r="G250" s="55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52" t="s">
        <v>20</v>
      </c>
      <c r="E253" s="553"/>
      <c r="F253" s="55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537">
        <f ca="1">IFERROR(__xludf.DUMMYFUNCTION("IMPORTRANGE(""https://docs.google.com/spreadsheets/d/1Yj_ptqi66GCucihVvJfMjLAmec39IyEx_6qawtMGysU/edit?usp=sharing"",""สบก!CB43"")"),0)</f>
        <v>0</v>
      </c>
      <c r="N254" s="538">
        <f ca="1">IFERROR(__xludf.DUMMYFUNCTION("IMPORTRANGE(""https://docs.google.com/spreadsheets/d/1Yj_ptqi66GCucihVvJfMjLAmec39IyEx_6qawtMGysU/edit?usp=sharing"",""สบก!CC43"")"),0)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537">
        <f ca="1">IFERROR(__xludf.DUMMYFUNCTION("IMPORTRANGE(""https://docs.google.com/spreadsheets/d/1Yj_ptqi66GCucihVvJfMjLAmec39IyEx_6qawtMGysU/edit?usp=sharing"",""สบก!BX43"")"),0)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537">
        <f ca="1">IFERROR(__xludf.DUMMYFUNCTION("IMPORTRANGE(""https://docs.google.com/spreadsheets/d/1Yj_ptqi66GCucihVvJfMjLAmec39IyEx_6qawtMGysU/edit?usp=sharing"",""สบก!BY43"")"),0)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52" t="s">
        <v>23</v>
      </c>
      <c r="E257" s="553"/>
      <c r="F257" s="89"/>
      <c r="G257" s="82" t="s">
        <v>18</v>
      </c>
      <c r="H257" s="172" t="s">
        <v>12</v>
      </c>
      <c r="I257" s="162"/>
      <c r="J257" s="162"/>
      <c r="K257" s="163"/>
      <c r="L257" s="535">
        <v>0</v>
      </c>
      <c r="M257" s="535"/>
      <c r="N257" s="41"/>
      <c r="O257" s="535"/>
      <c r="P257" s="535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533">
        <f ca="1">IFERROR(__xludf.DUMMYFUNCTION("IMPORTRANGE(""https://docs.google.com/spreadsheets/d/1Yj_ptqi66GCucihVvJfMjLAmec39IyEx_6qawtMGysU/edit?usp=sharing"",""สบก!BZ43"")"),0)</f>
        <v>0</v>
      </c>
      <c r="M258" s="536"/>
      <c r="N258" s="533">
        <f ca="1">IFERROR(__xludf.DUMMYFUNCTION("IMPORTRANGE(""https://docs.google.com/spreadsheets/d/1Yj_ptqi66GCucihVvJfMjLAmec39IyEx_6qawtMGysU/edit?usp=sharing"",""สบก!CD43"")"),0)</f>
        <v>0</v>
      </c>
      <c r="O258" s="536">
        <f ca="1">IF(L258&gt;0,N258*100/L258,0)</f>
        <v>0</v>
      </c>
      <c r="P258" s="536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IFERROR(__xludf.DUMMYFUNCTION("IMPORTRANGE(""https://docs.google.com/spreadsheets/d/1XL5vhW3sbDhbH9Cz0tuDiY8C3ctxq1tqvaCgkFb8cCA/edit?usp=sharing"",""บึงกาฬ!J175"")"),0)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IFERROR(__xludf.DUMMYFUNCTION("IMPORTRANGE(""https://docs.google.com/spreadsheets/d/1XL5vhW3sbDhbH9Cz0tuDiY8C3ctxq1tqvaCgkFb8cCA/edit?usp=sharing"",""บึงกาฬ!J176"")"),0)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IFERROR(__xludf.DUMMYFUNCTION("IMPORTRANGE(""https://docs.google.com/spreadsheets/d/1XL5vhW3sbDhbH9Cz0tuDiY8C3ctxq1tqvaCgkFb8cCA/edit?usp=sharing"",""บึงกาฬ!J177"")"),0)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IFERROR(__xludf.DUMMYFUNCTION("IMPORTRANGE(""https://docs.google.com/spreadsheets/d/1XL5vhW3sbDhbH9Cz0tuDiY8C3ctxq1tqvaCgkFb8cCA/edit?usp=sharing"",""บึงกาฬ!J178"")"),0)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IFERROR(__xludf.DUMMYFUNCTION("IMPORTRANGE(""https://docs.google.com/spreadsheets/d/1XL5vhW3sbDhbH9Cz0tuDiY8C3ctxq1tqvaCgkFb8cCA/edit?usp=sharing"",""บึงกาฬ!I179"")"),0)</f>
        <v>0</v>
      </c>
      <c r="J264" s="189">
        <f ca="1">IFERROR(__xludf.DUMMYFUNCTION("IMPORTRANGE(""https://docs.google.com/spreadsheets/d/1XL5vhW3sbDhbH9Cz0tuDiY8C3ctxq1tqvaCgkFb8cCA/edit?usp=sharing"",""บึงกาฬ!J179"")"),0)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IFERROR(__xludf.DUMMYFUNCTION("IMPORTRANGE(""https://docs.google.com/spreadsheets/d/1XL5vhW3sbDhbH9Cz0tuDiY8C3ctxq1tqvaCgkFb8cCA/edit?usp=sharing"",""บึงกาฬ!I180"")"),0)</f>
        <v>0</v>
      </c>
      <c r="J265" s="189">
        <f ca="1">IFERROR(__xludf.DUMMYFUNCTION("IMPORTRANGE(""https://docs.google.com/spreadsheets/d/1XL5vhW3sbDhbH9Cz0tuDiY8C3ctxq1tqvaCgkFb8cCA/edit?usp=sharing"",""บึงกาฬ!J180"")"),0)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IFERROR(__xludf.DUMMYFUNCTION("IMPORTRANGE(""https://docs.google.com/spreadsheets/d/1XL5vhW3sbDhbH9Cz0tuDiY8C3ctxq1tqvaCgkFb8cCA/edit?usp=sharing"",""บึงกาฬ!I181"")"),0)</f>
        <v>0</v>
      </c>
      <c r="J266" s="189">
        <f ca="1">IFERROR(__xludf.DUMMYFUNCTION("IMPORTRANGE(""https://docs.google.com/spreadsheets/d/1XL5vhW3sbDhbH9Cz0tuDiY8C3ctxq1tqvaCgkFb8cCA/edit?usp=sharing"",""บึงกาฬ!J181"")"),0)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IFERROR(__xludf.DUMMYFUNCTION("IMPORTRANGE(""https://docs.google.com/spreadsheets/d/1XL5vhW3sbDhbH9Cz0tuDiY8C3ctxq1tqvaCgkFb8cCA/edit?usp=sharing"",""บึงกาฬ!I182"")"),0)</f>
        <v>0</v>
      </c>
      <c r="J267" s="189">
        <f ca="1">IFERROR(__xludf.DUMMYFUNCTION("IMPORTRANGE(""https://docs.google.com/spreadsheets/d/1XL5vhW3sbDhbH9Cz0tuDiY8C3ctxq1tqvaCgkFb8cCA/edit?usp=sharing"",""บึงกาฬ!J182"")"),0)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IFERROR(__xludf.DUMMYFUNCTION("IMPORTRANGE(""https://docs.google.com/spreadsheets/d/1XL5vhW3sbDhbH9Cz0tuDiY8C3ctxq1tqvaCgkFb8cCA/edit?usp=sharing"",""บึงกาฬ!J183"")"),0)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IFERROR(__xludf.DUMMYFUNCTION("IMPORTRANGE(""https://docs.google.com/spreadsheets/d/1XL5vhW3sbDhbH9Cz0tuDiY8C3ctxq1tqvaCgkFb8cCA/edit?usp=sharing"",""บึงกาฬ!J184"")"),0)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IFERROR(__xludf.DUMMYFUNCTION("IMPORTRANGE(""https://docs.google.com/spreadsheets/d/1XL5vhW3sbDhbH9Cz0tuDiY8C3ctxq1tqvaCgkFb8cCA/edit?usp=sharing"",""บึงกาฬ!I185"")"),0)</f>
        <v>0</v>
      </c>
      <c r="J270" s="316">
        <f ca="1">IFERROR(__xludf.DUMMYFUNCTION("IMPORTRANGE(""https://docs.google.com/spreadsheets/d/1XL5vhW3sbDhbH9Cz0tuDiY8C3ctxq1tqvaCgkFb8cCA/edit?usp=sharing"",""บึงกาฬ!J185"")"),0)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54" t="s">
        <v>17</v>
      </c>
      <c r="E271" s="555"/>
      <c r="F271" s="555"/>
      <c r="G271" s="555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5">
      <c r="A274" s="158"/>
      <c r="B274" s="159"/>
      <c r="C274" s="159" t="s">
        <v>16</v>
      </c>
      <c r="D274" s="552" t="s">
        <v>20</v>
      </c>
      <c r="E274" s="553"/>
      <c r="F274" s="55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537">
        <f ca="1">IFERROR(__xludf.DUMMYFUNCTION("IMPORTRANGE(""https://docs.google.com/spreadsheets/d/1Yj_ptqi66GCucihVvJfMjLAmec39IyEx_6qawtMGysU/edit?usp=sharing"",""สบก!CK43"")"),0)</f>
        <v>0</v>
      </c>
      <c r="N275" s="538">
        <f ca="1">IFERROR(__xludf.DUMMYFUNCTION("IMPORTRANGE(""https://docs.google.com/spreadsheets/d/1Yj_ptqi66GCucihVvJfMjLAmec39IyEx_6qawtMGysU/edit?usp=sharing"",""สบก!CL43"")"),0)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537">
        <f ca="1">IFERROR(__xludf.DUMMYFUNCTION("IMPORTRANGE(""https://docs.google.com/spreadsheets/d/1Yj_ptqi66GCucihVvJfMjLAmec39IyEx_6qawtMGysU/edit?usp=sharing"",""สบก!CG43"")"),0)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537">
        <f ca="1">IFERROR(__xludf.DUMMYFUNCTION("IMPORTRANGE(""https://docs.google.com/spreadsheets/d/1Yj_ptqi66GCucihVvJfMjLAmec39IyEx_6qawtMGysU/edit?usp=sharing"",""สบก!CH43"")"),0)</f>
        <v>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52" t="s">
        <v>23</v>
      </c>
      <c r="E278" s="553"/>
      <c r="F278" s="89"/>
      <c r="G278" s="82" t="s">
        <v>18</v>
      </c>
      <c r="H278" s="172" t="s">
        <v>12</v>
      </c>
      <c r="I278" s="162"/>
      <c r="J278" s="162"/>
      <c r="K278" s="163"/>
      <c r="L278" s="535">
        <v>0</v>
      </c>
      <c r="M278" s="535"/>
      <c r="N278" s="41"/>
      <c r="O278" s="535"/>
      <c r="P278" s="535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533">
        <f ca="1">IFERROR(__xludf.DUMMYFUNCTION("IMPORTRANGE(""https://docs.google.com/spreadsheets/d/1Yj_ptqi66GCucihVvJfMjLAmec39IyEx_6qawtMGysU/edit?usp=sharing"",""สบก!CI43"")"),0)</f>
        <v>0</v>
      </c>
      <c r="M279" s="536"/>
      <c r="N279" s="533">
        <f ca="1">IFERROR(__xludf.DUMMYFUNCTION("IMPORTRANGE(""https://docs.google.com/spreadsheets/d/1Yj_ptqi66GCucihVvJfMjLAmec39IyEx_6qawtMGysU/edit?usp=sharing"",""สบก!CM43"")"),0)</f>
        <v>0</v>
      </c>
      <c r="O279" s="536">
        <f ca="1">IF(L279&gt;0,N279*100/L279,0)</f>
        <v>0</v>
      </c>
      <c r="P279" s="536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IFERROR(__xludf.DUMMYFUNCTION("IMPORTRANGE(""https://docs.google.com/spreadsheets/d/1XL5vhW3sbDhbH9Cz0tuDiY8C3ctxq1tqvaCgkFb8cCA/edit?usp=sharing"",""บึงกาฬ!J191"")"),0)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IFERROR(__xludf.DUMMYFUNCTION("IMPORTRANGE(""https://docs.google.com/spreadsheets/d/1XL5vhW3sbDhbH9Cz0tuDiY8C3ctxq1tqvaCgkFb8cCA/edit?usp=sharing"",""บึงกาฬ!J192"")"),0)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IFERROR(__xludf.DUMMYFUNCTION("IMPORTRANGE(""https://docs.google.com/spreadsheets/d/1XL5vhW3sbDhbH9Cz0tuDiY8C3ctxq1tqvaCgkFb8cCA/edit?usp=sharing"",""บึงกาฬ!J193"")"),0)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IFERROR(__xludf.DUMMYFUNCTION("IMPORTRANGE(""https://docs.google.com/spreadsheets/d/1XL5vhW3sbDhbH9Cz0tuDiY8C3ctxq1tqvaCgkFb8cCA/edit?usp=sharing"",""บึงกาฬ!J194"")"),0)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IFERROR(__xludf.DUMMYFUNCTION("IMPORTRANGE(""https://docs.google.com/spreadsheets/d/1XL5vhW3sbDhbH9Cz0tuDiY8C3ctxq1tqvaCgkFb8cCA/edit?usp=sharing"",""บึงกาฬ!I195"")"),0)</f>
        <v>0</v>
      </c>
      <c r="J285" s="189">
        <f ca="1">IFERROR(__xludf.DUMMYFUNCTION("IMPORTRANGE(""https://docs.google.com/spreadsheets/d/1XL5vhW3sbDhbH9Cz0tuDiY8C3ctxq1tqvaCgkFb8cCA/edit?usp=sharing"",""บึงกาฬ!J195"")"),0)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IFERROR(__xludf.DUMMYFUNCTION("IMPORTRANGE(""https://docs.google.com/spreadsheets/d/1XL5vhW3sbDhbH9Cz0tuDiY8C3ctxq1tqvaCgkFb8cCA/edit?usp=sharing"",""บึงกาฬ!J196"")"),0)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IFERROR(__xludf.DUMMYFUNCTION("IMPORTRANGE(""https://docs.google.com/spreadsheets/d/1XL5vhW3sbDhbH9Cz0tuDiY8C3ctxq1tqvaCgkFb8cCA/edit?usp=sharing"",""บึงกาฬ!J197"")"),0)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IFERROR(__xludf.DUMMYFUNCTION("IMPORTRANGE(""https://docs.google.com/spreadsheets/d/1XL5vhW3sbDhbH9Cz0tuDiY8C3ctxq1tqvaCgkFb8cCA/edit?usp=sharing"",""บึงกาฬ!I199"")"),0)</f>
        <v>0</v>
      </c>
      <c r="J289" s="316">
        <f ca="1">IFERROR(__xludf.DUMMYFUNCTION("IMPORTRANGE(""https://docs.google.com/spreadsheets/d/1XL5vhW3sbDhbH9Cz0tuDiY8C3ctxq1tqvaCgkFb8cCA/edit?usp=sharing"",""บึงกาฬ!J199"")"),0)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54" t="s">
        <v>17</v>
      </c>
      <c r="E290" s="555"/>
      <c r="F290" s="555"/>
      <c r="G290" s="55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52" t="s">
        <v>20</v>
      </c>
      <c r="E293" s="553"/>
      <c r="F293" s="55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537">
        <f ca="1">IFERROR(__xludf.DUMMYFUNCTION("IMPORTRANGE(""https://docs.google.com/spreadsheets/d/1Yj_ptqi66GCucihVvJfMjLAmec39IyEx_6qawtMGysU/edit?usp=sharing"",""สบก!CT43"")"),0)</f>
        <v>0</v>
      </c>
      <c r="N294" s="538">
        <f ca="1">IFERROR(__xludf.DUMMYFUNCTION("IMPORTRANGE(""https://docs.google.com/spreadsheets/d/1Yj_ptqi66GCucihVvJfMjLAmec39IyEx_6qawtMGysU/edit?usp=sharing"",""สบก!CU43"")"),0)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537">
        <f ca="1">IFERROR(__xludf.DUMMYFUNCTION("IMPORTRANGE(""https://docs.google.com/spreadsheets/d/1Yj_ptqi66GCucihVvJfMjLAmec39IyEx_6qawtMGysU/edit?usp=sharing"",""สบก!CP43"")"),0)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537">
        <f ca="1">IFERROR(__xludf.DUMMYFUNCTION("IMPORTRANGE(""https://docs.google.com/spreadsheets/d/1Yj_ptqi66GCucihVvJfMjLAmec39IyEx_6qawtMGysU/edit?usp=sharing"",""สบก!CQ43"")"),0)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52" t="s">
        <v>23</v>
      </c>
      <c r="E297" s="553"/>
      <c r="F297" s="89"/>
      <c r="G297" s="82" t="s">
        <v>18</v>
      </c>
      <c r="H297" s="172" t="s">
        <v>12</v>
      </c>
      <c r="I297" s="188"/>
      <c r="J297" s="188"/>
      <c r="K297" s="224"/>
      <c r="L297" s="535">
        <v>0</v>
      </c>
      <c r="M297" s="535"/>
      <c r="N297" s="41"/>
      <c r="O297" s="535"/>
      <c r="P297" s="535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533">
        <f ca="1">IFERROR(__xludf.DUMMYFUNCTION("IMPORTRANGE(""https://docs.google.com/spreadsheets/d/1Yj_ptqi66GCucihVvJfMjLAmec39IyEx_6qawtMGysU/edit?usp=sharing"",""สบก!CR43"")"),0)</f>
        <v>0</v>
      </c>
      <c r="M298" s="536"/>
      <c r="N298" s="533">
        <f ca="1">IFERROR(__xludf.DUMMYFUNCTION("IMPORTRANGE(""https://docs.google.com/spreadsheets/d/1Yj_ptqi66GCucihVvJfMjLAmec39IyEx_6qawtMGysU/edit?usp=sharing"",""สบก!CV43"")"),0)</f>
        <v>0</v>
      </c>
      <c r="O298" s="536">
        <f ca="1">IF(L298&gt;0,N298*100/L298,0)</f>
        <v>0</v>
      </c>
      <c r="P298" s="536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IFERROR(__xludf.DUMMYFUNCTION("IMPORTRANGE(""https://docs.google.com/spreadsheets/d/1XL5vhW3sbDhbH9Cz0tuDiY8C3ctxq1tqvaCgkFb8cCA/edit?usp=sharing"",""บึงกาฬ!J205"")"),0)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IFERROR(__xludf.DUMMYFUNCTION("IMPORTRANGE(""https://docs.google.com/spreadsheets/d/1XL5vhW3sbDhbH9Cz0tuDiY8C3ctxq1tqvaCgkFb8cCA/edit?usp=sharing"",""บึงกาฬ!J206"")"),0)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IFERROR(__xludf.DUMMYFUNCTION("IMPORTRANGE(""https://docs.google.com/spreadsheets/d/1XL5vhW3sbDhbH9Cz0tuDiY8C3ctxq1tqvaCgkFb8cCA/edit?usp=sharing"",""บึงกาฬ!J207"")"),0)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IFERROR(__xludf.DUMMYFUNCTION("IMPORTRANGE(""https://docs.google.com/spreadsheets/d/1XL5vhW3sbDhbH9Cz0tuDiY8C3ctxq1tqvaCgkFb8cCA/edit?usp=sharing"",""บึงกาฬ!J208"")"),0)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IFERROR(__xludf.DUMMYFUNCTION("IMPORTRANGE(""https://docs.google.com/spreadsheets/d/1XL5vhW3sbDhbH9Cz0tuDiY8C3ctxq1tqvaCgkFb8cCA/edit?usp=sharing"",""บึงกาฬ!I209"")"),0)</f>
        <v>0</v>
      </c>
      <c r="J304" s="204">
        <f ca="1">IFERROR(__xludf.DUMMYFUNCTION("IMPORTRANGE(""https://docs.google.com/spreadsheets/d/1XL5vhW3sbDhbH9Cz0tuDiY8C3ctxq1tqvaCgkFb8cCA/edit?usp=sharing"",""บึงกาฬ!J209"")"),0)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IFERROR(__xludf.DUMMYFUNCTION("IMPORTRANGE(""https://docs.google.com/spreadsheets/d/1XL5vhW3sbDhbH9Cz0tuDiY8C3ctxq1tqvaCgkFb8cCA/edit?usp=sharing"",""บึงกาฬ!I211"")"),0)</f>
        <v>0</v>
      </c>
      <c r="J306" s="204">
        <f ca="1">IFERROR(__xludf.DUMMYFUNCTION("IMPORTRANGE(""https://docs.google.com/spreadsheets/d/1XL5vhW3sbDhbH9Cz0tuDiY8C3ctxq1tqvaCgkFb8cCA/edit?usp=sharing"",""บึงกาฬ!J211"")"),0)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IFERROR(__xludf.DUMMYFUNCTION("IMPORTRANGE(""https://docs.google.com/spreadsheets/d/1XL5vhW3sbDhbH9Cz0tuDiY8C3ctxq1tqvaCgkFb8cCA/edit?usp=sharing"",""บึงกาฬ!J212"")"),0)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IFERROR(__xludf.DUMMYFUNCTION("IMPORTRANGE(""https://docs.google.com/spreadsheets/d/1XL5vhW3sbDhbH9Cz0tuDiY8C3ctxq1tqvaCgkFb8cCA/edit?usp=sharing"",""บึงกาฬ!J213"")"),0)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IFERROR(__xludf.DUMMYFUNCTION("IMPORTRANGE(""https://docs.google.com/spreadsheets/d/1XL5vhW3sbDhbH9Cz0tuDiY8C3ctxq1tqvaCgkFb8cCA/edit?usp=sharing"",""บึงกาฬ!I214"")"),0)</f>
        <v>0</v>
      </c>
      <c r="J309" s="333">
        <f ca="1">IFERROR(__xludf.DUMMYFUNCTION("IMPORTRANGE(""https://docs.google.com/spreadsheets/d/1XL5vhW3sbDhbH9Cz0tuDiY8C3ctxq1tqvaCgkFb8cCA/edit?usp=sharing"",""บึงกาฬ!J214"")"),0)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54" t="s">
        <v>17</v>
      </c>
      <c r="E310" s="555"/>
      <c r="F310" s="555"/>
      <c r="G310" s="55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52" t="s">
        <v>20</v>
      </c>
      <c r="E313" s="553"/>
      <c r="F313" s="55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537">
        <f ca="1">IFERROR(__xludf.DUMMYFUNCTION("IMPORTRANGE(""https://docs.google.com/spreadsheets/d/1Yj_ptqi66GCucihVvJfMjLAmec39IyEx_6qawtMGysU/edit?usp=sharing"",""สบก!DC43"")"),0)</f>
        <v>0</v>
      </c>
      <c r="N314" s="538">
        <f ca="1">IFERROR(__xludf.DUMMYFUNCTION("IMPORTRANGE(""https://docs.google.com/spreadsheets/d/1Yj_ptqi66GCucihVvJfMjLAmec39IyEx_6qawtMGysU/edit?usp=sharing"",""สบก!DD43"")"),0)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537">
        <f ca="1">IFERROR(__xludf.DUMMYFUNCTION("IMPORTRANGE(""https://docs.google.com/spreadsheets/d/1Yj_ptqi66GCucihVvJfMjLAmec39IyEx_6qawtMGysU/edit?usp=sharing"",""สบก!CY43"")"),0)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537">
        <f ca="1">IFERROR(__xludf.DUMMYFUNCTION("IMPORTRANGE(""https://docs.google.com/spreadsheets/d/1Yj_ptqi66GCucihVvJfMjLAmec39IyEx_6qawtMGysU/edit?usp=sharing"",""สบก!CZ43"")"),0)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52" t="s">
        <v>23</v>
      </c>
      <c r="E317" s="553"/>
      <c r="F317" s="89"/>
      <c r="G317" s="82" t="s">
        <v>18</v>
      </c>
      <c r="H317" s="172" t="s">
        <v>12</v>
      </c>
      <c r="I317" s="162"/>
      <c r="J317" s="188"/>
      <c r="K317" s="224"/>
      <c r="L317" s="535">
        <v>0</v>
      </c>
      <c r="M317" s="535"/>
      <c r="N317" s="41"/>
      <c r="O317" s="535"/>
      <c r="P317" s="535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533">
        <f ca="1">IFERROR(__xludf.DUMMYFUNCTION("IMPORTRANGE(""https://docs.google.com/spreadsheets/d/1Yj_ptqi66GCucihVvJfMjLAmec39IyEx_6qawtMGysU/edit?usp=sharing"",""สบก!DA43"")"),0)</f>
        <v>0</v>
      </c>
      <c r="M318" s="536"/>
      <c r="N318" s="533">
        <f ca="1">IFERROR(__xludf.DUMMYFUNCTION("IMPORTRANGE(""https://docs.google.com/spreadsheets/d/1Yj_ptqi66GCucihVvJfMjLAmec39IyEx_6qawtMGysU/edit?usp=sharing"",""สบก!DE43"")"),0)</f>
        <v>0</v>
      </c>
      <c r="O318" s="536">
        <f ca="1">IF(L318&gt;0,N318*100/L318,0)</f>
        <v>0</v>
      </c>
      <c r="P318" s="536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IFERROR(__xludf.DUMMYFUNCTION("IMPORTRANGE(""https://docs.google.com/spreadsheets/d/1XL5vhW3sbDhbH9Cz0tuDiY8C3ctxq1tqvaCgkFb8cCA/edit?usp=sharing"",""บึงกาฬ!J220"")"),0)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IFERROR(__xludf.DUMMYFUNCTION("IMPORTRANGE(""https://docs.google.com/spreadsheets/d/1XL5vhW3sbDhbH9Cz0tuDiY8C3ctxq1tqvaCgkFb8cCA/edit?usp=sharing"",""บึงกาฬ!J221"")"),0)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IFERROR(__xludf.DUMMYFUNCTION("IMPORTRANGE(""https://docs.google.com/spreadsheets/d/1XL5vhW3sbDhbH9Cz0tuDiY8C3ctxq1tqvaCgkFb8cCA/edit?usp=sharing"",""บึงกาฬ!J222"")"),0)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IFERROR(__xludf.DUMMYFUNCTION("IMPORTRANGE(""https://docs.google.com/spreadsheets/d/1XL5vhW3sbDhbH9Cz0tuDiY8C3ctxq1tqvaCgkFb8cCA/edit?usp=sharing"",""บึงกาฬ!J223"")"),0)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IFERROR(__xludf.DUMMYFUNCTION("IMPORTRANGE(""https://docs.google.com/spreadsheets/d/1XL5vhW3sbDhbH9Cz0tuDiY8C3ctxq1tqvaCgkFb8cCA/edit?usp=sharing"",""บึงกาฬ!I224"")"),0)</f>
        <v>0</v>
      </c>
      <c r="J324" s="204">
        <f ca="1">IFERROR(__xludf.DUMMYFUNCTION("IMPORTRANGE(""https://docs.google.com/spreadsheets/d/1XL5vhW3sbDhbH9Cz0tuDiY8C3ctxq1tqvaCgkFb8cCA/edit?usp=sharing"",""บึงกาฬ!J224"")"),0)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IFERROR(__xludf.DUMMYFUNCTION("IMPORTRANGE(""https://docs.google.com/spreadsheets/d/1XL5vhW3sbDhbH9Cz0tuDiY8C3ctxq1tqvaCgkFb8cCA/edit?usp=sharing"",""บึงกาฬ!J225"")"),0)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IFERROR(__xludf.DUMMYFUNCTION("IMPORTRANGE(""https://docs.google.com/spreadsheets/d/1XL5vhW3sbDhbH9Cz0tuDiY8C3ctxq1tqvaCgkFb8cCA/edit?usp=sharing"",""บึงกาฬ!J226"")"),0)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IFERROR(__xludf.DUMMYFUNCTION("IMPORTRANGE(""https://docs.google.com/spreadsheets/d/1XL5vhW3sbDhbH9Cz0tuDiY8C3ctxq1tqvaCgkFb8cCA/edit?usp=sharing"",""บึงกาฬ!I228"")"),640)</f>
        <v>640</v>
      </c>
      <c r="J328" s="339">
        <f ca="1">IFERROR(__xludf.DUMMYFUNCTION("IMPORTRANGE(""https://docs.google.com/spreadsheets/d/1XL5vhW3sbDhbH9Cz0tuDiY8C3ctxq1tqvaCgkFb8cCA/edit?usp=sharing"",""บึงกาฬ!J228"")"),344)</f>
        <v>344</v>
      </c>
      <c r="K328" s="317">
        <f ca="1">IF(I328&gt;0,J328*100/I328,0)</f>
        <v>53.75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54" t="s">
        <v>17</v>
      </c>
      <c r="E329" s="555"/>
      <c r="F329" s="555"/>
      <c r="G329" s="555"/>
      <c r="H329" s="149" t="s">
        <v>12</v>
      </c>
      <c r="I329" s="162"/>
      <c r="J329" s="162"/>
      <c r="K329" s="163"/>
      <c r="L329" s="152">
        <f t="shared" ref="L329:N329" ca="1" si="98">L330+L331</f>
        <v>1501400</v>
      </c>
      <c r="M329" s="152">
        <f t="shared" ca="1" si="98"/>
        <v>1093100</v>
      </c>
      <c r="N329" s="152">
        <f t="shared" ca="1" si="98"/>
        <v>852062</v>
      </c>
      <c r="O329" s="151">
        <f t="shared" ref="O329:O331" ca="1" si="99">IF(L329&gt;0,N329*100/L329,0)</f>
        <v>56.751165578793128</v>
      </c>
      <c r="P329" s="151">
        <f t="shared" ref="P329:P331" ca="1" si="100">IF(M329&gt;0,N329*100/M329,0)</f>
        <v>77.949135486231825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1501400</v>
      </c>
      <c r="M331" s="157">
        <f t="shared" ca="1" si="102"/>
        <v>1093100</v>
      </c>
      <c r="N331" s="157">
        <f t="shared" ca="1" si="102"/>
        <v>852062</v>
      </c>
      <c r="O331" s="156">
        <f t="shared" ca="1" si="99"/>
        <v>56.751165578793128</v>
      </c>
      <c r="P331" s="156">
        <f t="shared" ca="1" si="100"/>
        <v>77.949135486231825</v>
      </c>
    </row>
    <row r="332" spans="1:16" ht="21.75" customHeight="1" x14ac:dyDescent="0.45">
      <c r="A332" s="158"/>
      <c r="B332" s="159"/>
      <c r="C332" s="159" t="s">
        <v>16</v>
      </c>
      <c r="D332" s="552" t="s">
        <v>20</v>
      </c>
      <c r="E332" s="553"/>
      <c r="F332" s="55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1409300</v>
      </c>
      <c r="M333" s="537">
        <f ca="1">IFERROR(__xludf.DUMMYFUNCTION("IMPORTRANGE(""https://docs.google.com/spreadsheets/d/1Yj_ptqi66GCucihVvJfMjLAmec39IyEx_6qawtMGysU/edit?usp=sharing"",""สบก!DL43"")"),1001000)</f>
        <v>1001000</v>
      </c>
      <c r="N333" s="538">
        <f ca="1">IFERROR(__xludf.DUMMYFUNCTION("IMPORTRANGE(""https://docs.google.com/spreadsheets/d/1Yj_ptqi66GCucihVvJfMjLAmec39IyEx_6qawtMGysU/edit?usp=sharing"",""สบก!DM43"")"),759962)</f>
        <v>759962</v>
      </c>
      <c r="O333" s="169">
        <f ca="1">IF(L333&gt;0,N333*100/L333,0)</f>
        <v>53.924785354431279</v>
      </c>
      <c r="P333" s="169">
        <f ca="1">IF(M333&gt;0,N333*100/M333,0)</f>
        <v>75.920279720279723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537">
        <f ca="1">IFERROR(__xludf.DUMMYFUNCTION("IMPORTRANGE(""https://docs.google.com/spreadsheets/d/1Yj_ptqi66GCucihVvJfMjLAmec39IyEx_6qawtMGysU/edit?usp=sharing"",""สบก!DH43"")"),510300)</f>
        <v>510300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537">
        <f ca="1">IFERROR(__xludf.DUMMYFUNCTION("IMPORTRANGE(""https://docs.google.com/spreadsheets/d/1Yj_ptqi66GCucihVvJfMjLAmec39IyEx_6qawtMGysU/edit?usp=sharing"",""สบก!DI43"")"),899000)</f>
        <v>899000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52" t="s">
        <v>23</v>
      </c>
      <c r="E336" s="553"/>
      <c r="F336" s="89"/>
      <c r="G336" s="82" t="s">
        <v>18</v>
      </c>
      <c r="H336" s="172" t="s">
        <v>12</v>
      </c>
      <c r="I336" s="162"/>
      <c r="J336" s="162"/>
      <c r="K336" s="163"/>
      <c r="L336" s="535">
        <v>0</v>
      </c>
      <c r="M336" s="535"/>
      <c r="N336" s="41"/>
      <c r="O336" s="535"/>
      <c r="P336" s="535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533">
        <f ca="1">IFERROR(__xludf.DUMMYFUNCTION("IMPORTRANGE(""https://docs.google.com/spreadsheets/d/1Yj_ptqi66GCucihVvJfMjLAmec39IyEx_6qawtMGysU/edit?usp=sharing"",""สบก!DJ43"")"),92100)</f>
        <v>92100</v>
      </c>
      <c r="M337" s="536">
        <f ca="1">L337</f>
        <v>92100</v>
      </c>
      <c r="N337" s="533">
        <f ca="1">IFERROR(__xludf.DUMMYFUNCTION("IMPORTRANGE(""https://docs.google.com/spreadsheets/d/1Yj_ptqi66GCucihVvJfMjLAmec39IyEx_6qawtMGysU/edit?usp=sharing"",""สบก!DN43"")"),92100)</f>
        <v>92100</v>
      </c>
      <c r="O337" s="536">
        <f ca="1">IF(L337&gt;0,N337*100/L337,0)</f>
        <v>100</v>
      </c>
      <c r="P337" s="536">
        <f ca="1">IF(M337&gt;0,N337*100/M337,0)</f>
        <v>100</v>
      </c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IFERROR(__xludf.DUMMYFUNCTION("IMPORTRANGE(""https://docs.google.com/spreadsheets/d/1XL5vhW3sbDhbH9Cz0tuDiY8C3ctxq1tqvaCgkFb8cCA/edit?usp=sharing"",""บึงกาฬ!I234"")"),0)</f>
        <v>0</v>
      </c>
      <c r="J339" s="188">
        <f ca="1">IFERROR(__xludf.DUMMYFUNCTION("IMPORTRANGE(""https://docs.google.com/spreadsheets/d/1XL5vhW3sbDhbH9Cz0tuDiY8C3ctxq1tqvaCgkFb8cCA/edit?usp=sharing"",""บึงกาฬ!J234"")"),495)</f>
        <v>495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IFERROR(__xludf.DUMMYFUNCTION("IMPORTRANGE(""https://docs.google.com/spreadsheets/d/1XL5vhW3sbDhbH9Cz0tuDiY8C3ctxq1tqvaCgkFb8cCA/edit?usp=sharing"",""บึงกาฬ!I235"")"),6000)</f>
        <v>6000</v>
      </c>
      <c r="J340" s="188">
        <f ca="1">IFERROR(__xludf.DUMMYFUNCTION("IMPORTRANGE(""https://docs.google.com/spreadsheets/d/1XL5vhW3sbDhbH9Cz0tuDiY8C3ctxq1tqvaCgkFb8cCA/edit?usp=sharing"",""บึงกาฬ!J235"")"),5153.16)</f>
        <v>5153.16</v>
      </c>
      <c r="K340" s="342">
        <f t="shared" ca="1" si="103"/>
        <v>85.885999999999996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IFERROR(__xludf.DUMMYFUNCTION("IMPORTRANGE(""https://docs.google.com/spreadsheets/d/1XL5vhW3sbDhbH9Cz0tuDiY8C3ctxq1tqvaCgkFb8cCA/edit?usp=sharing"",""บึงกาฬ!I236"")"),640)</f>
        <v>640</v>
      </c>
      <c r="J341" s="188">
        <f ca="1">IFERROR(__xludf.DUMMYFUNCTION("IMPORTRANGE(""https://docs.google.com/spreadsheets/d/1XL5vhW3sbDhbH9Cz0tuDiY8C3ctxq1tqvaCgkFb8cCA/edit?usp=sharing"",""บึงกาฬ!J236"")"),431)</f>
        <v>431</v>
      </c>
      <c r="K341" s="342">
        <f t="shared" ca="1" si="103"/>
        <v>67.34375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IFERROR(__xludf.DUMMYFUNCTION("IMPORTRANGE(""https://docs.google.com/spreadsheets/d/1XL5vhW3sbDhbH9Cz0tuDiY8C3ctxq1tqvaCgkFb8cCA/edit?usp=sharing"",""บึงกาฬ!I237"")"),0)</f>
        <v>0</v>
      </c>
      <c r="J342" s="188">
        <f ca="1">IFERROR(__xludf.DUMMYFUNCTION("IMPORTRANGE(""https://docs.google.com/spreadsheets/d/1XL5vhW3sbDhbH9Cz0tuDiY8C3ctxq1tqvaCgkFb8cCA/edit?usp=sharing"",""บึงกาฬ!J237"")"),6116.06)</f>
        <v>6116.06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IFERROR(__xludf.DUMMYFUNCTION("IMPORTRANGE(""https://docs.google.com/spreadsheets/d/1XL5vhW3sbDhbH9Cz0tuDiY8C3ctxq1tqvaCgkFb8cCA/edit?usp=sharing"",""บึงกาฬ!I238"")"),640)</f>
        <v>640</v>
      </c>
      <c r="J343" s="188">
        <f ca="1">IFERROR(__xludf.DUMMYFUNCTION("IMPORTRANGE(""https://docs.google.com/spreadsheets/d/1XL5vhW3sbDhbH9Cz0tuDiY8C3ctxq1tqvaCgkFb8cCA/edit?usp=sharing"",""บึงกาฬ!J238"")"),0)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IFERROR(__xludf.DUMMYFUNCTION("IMPORTRANGE(""https://docs.google.com/spreadsheets/d/1XL5vhW3sbDhbH9Cz0tuDiY8C3ctxq1tqvaCgkFb8cCA/edit?usp=sharing"",""บึงกาฬ!I239"")"),0)</f>
        <v>0</v>
      </c>
      <c r="J344" s="188">
        <f ca="1">IFERROR(__xludf.DUMMYFUNCTION("IMPORTRANGE(""https://docs.google.com/spreadsheets/d/1XL5vhW3sbDhbH9Cz0tuDiY8C3ctxq1tqvaCgkFb8cCA/edit?usp=sharing"",""บึงกาฬ!J239"")"),0)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IFERROR(__xludf.DUMMYFUNCTION("IMPORTRANGE(""https://docs.google.com/spreadsheets/d/1XL5vhW3sbDhbH9Cz0tuDiY8C3ctxq1tqvaCgkFb8cCA/edit?usp=sharing"",""บึงกาฬ!I240"")"),640)</f>
        <v>640</v>
      </c>
      <c r="J345" s="188">
        <f ca="1">IFERROR(__xludf.DUMMYFUNCTION("IMPORTRANGE(""https://docs.google.com/spreadsheets/d/1XL5vhW3sbDhbH9Cz0tuDiY8C3ctxq1tqvaCgkFb8cCA/edit?usp=sharing"",""บึงกาฬ!J240"")"),344)</f>
        <v>344</v>
      </c>
      <c r="K345" s="342">
        <f t="shared" ca="1" si="103"/>
        <v>53.75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IFERROR(__xludf.DUMMYFUNCTION("IMPORTRANGE(""https://docs.google.com/spreadsheets/d/1XL5vhW3sbDhbH9Cz0tuDiY8C3ctxq1tqvaCgkFb8cCA/edit?usp=sharing"",""บึงกาฬ!I241"")"),0)</f>
        <v>0</v>
      </c>
      <c r="J346" s="188">
        <f ca="1">IFERROR(__xludf.DUMMYFUNCTION("IMPORTRANGE(""https://docs.google.com/spreadsheets/d/1XL5vhW3sbDhbH9Cz0tuDiY8C3ctxq1tqvaCgkFb8cCA/edit?usp=sharing"",""บึงกาฬ!J241"")"),5048.82)</f>
        <v>5048.82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IFERROR(__xludf.DUMMYFUNCTION("IMPORTRANGE(""https://docs.google.com/spreadsheets/d/1XL5vhW3sbDhbH9Cz0tuDiY8C3ctxq1tqvaCgkFb8cCA/edit?usp=sharing"",""บึงกาฬ!L242"")"),2788445)</f>
        <v>2788445</v>
      </c>
      <c r="M347" s="358"/>
      <c r="N347" s="358">
        <f ca="1">IFERROR(__xludf.DUMMYFUNCTION("IMPORTRANGE(""https://docs.google.com/spreadsheets/d/1XL5vhW3sbDhbH9Cz0tuDiY8C3ctxq1tqvaCgkFb8cCA/edit?usp=sharing"",""บึงกาฬ!M242"")"),926047)</f>
        <v>926047</v>
      </c>
      <c r="O347" s="358">
        <f ca="1">+IF(L347&gt;0,N347*100/L347,0)</f>
        <v>33.210158349904695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IFERROR(__xludf.DUMMYFUNCTION("IMPORTRANGE(""https://docs.google.com/spreadsheets/d/1XL5vhW3sbDhbH9Cz0tuDiY8C3ctxq1tqvaCgkFb8cCA/edit?usp=sharing"",""บึงกาฬ!I244"")"),150)</f>
        <v>150</v>
      </c>
      <c r="J349" s="371">
        <f ca="1">IFERROR(__xludf.DUMMYFUNCTION("IMPORTRANGE(""https://docs.google.com/spreadsheets/d/1XL5vhW3sbDhbH9Cz0tuDiY8C3ctxq1tqvaCgkFb8cCA/edit?usp=sharing"",""บึงกาฬ!J244"")"),0)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IFERROR(__xludf.DUMMYFUNCTION("IMPORTRANGE(""https://docs.google.com/spreadsheets/d/1XL5vhW3sbDhbH9Cz0tuDiY8C3ctxq1tqvaCgkFb8cCA/edit?usp=sharing"",""บึงกาฬ!L244"")"),452180)</f>
        <v>452180</v>
      </c>
      <c r="M349" s="373"/>
      <c r="N349" s="373">
        <f ca="1">IFERROR(__xludf.DUMMYFUNCTION("IMPORTRANGE(""https://docs.google.com/spreadsheets/d/1XL5vhW3sbDhbH9Cz0tuDiY8C3ctxq1tqvaCgkFb8cCA/edit?usp=sharing"",""บึงกาฬ!M244"")"),132387)</f>
        <v>132387</v>
      </c>
      <c r="O349" s="373">
        <f ca="1">+IF(L349&gt;0,N349*100/L349,0)</f>
        <v>29.277500110575435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IFERROR(__xludf.DUMMYFUNCTION("IMPORTRANGE(""https://docs.google.com/spreadsheets/d/1XL5vhW3sbDhbH9Cz0tuDiY8C3ctxq1tqvaCgkFb8cCA/edit?usp=sharing"",""บึงกาฬ!I245"")"),90)</f>
        <v>90</v>
      </c>
      <c r="J350" s="371">
        <f ca="1">IFERROR(__xludf.DUMMYFUNCTION("IMPORTRANGE(""https://docs.google.com/spreadsheets/d/1XL5vhW3sbDhbH9Cz0tuDiY8C3ctxq1tqvaCgkFb8cCA/edit?usp=sharing"",""บึงกาฬ!J245"")"),90)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IFERROR(__xludf.DUMMYFUNCTION("IMPORTRANGE(""https://docs.google.com/spreadsheets/d/1XL5vhW3sbDhbH9Cz0tuDiY8C3ctxq1tqvaCgkFb8cCA/edit?usp=sharing"",""บึงกาฬ!L246"")"),0)</f>
        <v>0</v>
      </c>
      <c r="M351" s="164"/>
      <c r="N351" s="164">
        <f ca="1">IFERROR(__xludf.DUMMYFUNCTION("IMPORTRANGE(""https://docs.google.com/spreadsheets/d/1XL5vhW3sbDhbH9Cz0tuDiY8C3ctxq1tqvaCgkFb8cCA/edit?usp=sharing"",""บึงกาฬ!M246"")"),0)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IFERROR(__xludf.DUMMYFUNCTION("IMPORTRANGE(""https://docs.google.com/spreadsheets/d/1XL5vhW3sbDhbH9Cz0tuDiY8C3ctxq1tqvaCgkFb8cCA/edit?usp=sharing"",""บึงกาฬ!L247"")"),452180)</f>
        <v>452180</v>
      </c>
      <c r="M352" s="165"/>
      <c r="N352" s="164">
        <f ca="1">IFERROR(__xludf.DUMMYFUNCTION("IMPORTRANGE(""https://docs.google.com/spreadsheets/d/1XL5vhW3sbDhbH9Cz0tuDiY8C3ctxq1tqvaCgkFb8cCA/edit?usp=sharing"",""บึงกาฬ!M247"")"),132387)</f>
        <v>132387</v>
      </c>
      <c r="O352" s="165">
        <f t="shared" ca="1" si="105"/>
        <v>29.277500110575435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IFERROR(__xludf.DUMMYFUNCTION("IMPORTRANGE(""https://docs.google.com/spreadsheets/d/1XL5vhW3sbDhbH9Cz0tuDiY8C3ctxq1tqvaCgkFb8cCA/edit?usp=sharing"",""บึงกาฬ!L248"")"),0)</f>
        <v>0</v>
      </c>
      <c r="M353" s="169"/>
      <c r="N353" s="169">
        <f ca="1">IFERROR(__xludf.DUMMYFUNCTION("IMPORTRANGE(""https://docs.google.com/spreadsheets/d/1XL5vhW3sbDhbH9Cz0tuDiY8C3ctxq1tqvaCgkFb8cCA/edit?usp=sharing"",""บึงกาฬ!M248"")"),0)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IFERROR(__xludf.DUMMYFUNCTION("IMPORTRANGE(""https://docs.google.com/spreadsheets/d/1XL5vhW3sbDhbH9Cz0tuDiY8C3ctxq1tqvaCgkFb8cCA/edit?usp=sharing"",""บึงกาฬ!L249"")"),452180)</f>
        <v>452180</v>
      </c>
      <c r="M354" s="169"/>
      <c r="N354" s="168">
        <f ca="1">IFERROR(__xludf.DUMMYFUNCTION("IMPORTRANGE(""https://docs.google.com/spreadsheets/d/1XL5vhW3sbDhbH9Cz0tuDiY8C3ctxq1tqvaCgkFb8cCA/edit?usp=sharing"",""บึงกาฬ!M249"")"),132387)</f>
        <v>132387</v>
      </c>
      <c r="O354" s="169">
        <f t="shared" ca="1" si="105"/>
        <v>29.277500110575435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IFERROR(__xludf.DUMMYFUNCTION("IMPORTRANGE(""https://docs.google.com/spreadsheets/d/1XL5vhW3sbDhbH9Cz0tuDiY8C3ctxq1tqvaCgkFb8cCA/edit?usp=sharing"",""บึงกาฬ!M250"")"),52138)</f>
        <v>52138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IFERROR(__xludf.DUMMYFUNCTION("IMPORTRANGE(""https://docs.google.com/spreadsheets/d/1XL5vhW3sbDhbH9Cz0tuDiY8C3ctxq1tqvaCgkFb8cCA/edit?usp=sharing"",""บึงกาฬ!M251"")"),0)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IFERROR(__xludf.DUMMYFUNCTION("IMPORTRANGE(""https://docs.google.com/spreadsheets/d/1XL5vhW3sbDhbH9Cz0tuDiY8C3ctxq1tqvaCgkFb8cCA/edit?usp=sharing"",""บึงกาฬ!M252"")"),59200)</f>
        <v>59200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IFERROR(__xludf.DUMMYFUNCTION("IMPORTRANGE(""https://docs.google.com/spreadsheets/d/1XL5vhW3sbDhbH9Cz0tuDiY8C3ctxq1tqvaCgkFb8cCA/edit?usp=sharing"",""บึงกาฬ!M253"")"),21049)</f>
        <v>21049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IFERROR(__xludf.DUMMYFUNCTION("IMPORTRANGE(""https://docs.google.com/spreadsheets/d/1XL5vhW3sbDhbH9Cz0tuDiY8C3ctxq1tqvaCgkFb8cCA/edit?usp=sharing"",""บึงกาฬ!J255"")"),0)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IFERROR(__xludf.DUMMYFUNCTION("IMPORTRANGE(""https://docs.google.com/spreadsheets/d/1XL5vhW3sbDhbH9Cz0tuDiY8C3ctxq1tqvaCgkFb8cCA/edit?usp=sharing"",""บึงกาฬ!J256"")"),1)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IFERROR(__xludf.DUMMYFUNCTION("IMPORTRANGE(""https://docs.google.com/spreadsheets/d/1XL5vhW3sbDhbH9Cz0tuDiY8C3ctxq1tqvaCgkFb8cCA/edit?usp=sharing"",""บึงกาฬ!J257"")"),1)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IFERROR(__xludf.DUMMYFUNCTION("IMPORTRANGE(""https://docs.google.com/spreadsheets/d/1XL5vhW3sbDhbH9Cz0tuDiY8C3ctxq1tqvaCgkFb8cCA/edit?usp=sharing"",""บึงกาฬ!J258"")"),1)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IFERROR(__xludf.DUMMYFUNCTION("IMPORTRANGE(""https://docs.google.com/spreadsheets/d/1XL5vhW3sbDhbH9Cz0tuDiY8C3ctxq1tqvaCgkFb8cCA/edit?usp=sharing"",""บึงกาฬ!J166"")"),0)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IFERROR(__xludf.DUMMYFUNCTION("IMPORTRANGE(""https://docs.google.com/spreadsheets/d/1XL5vhW3sbDhbH9Cz0tuDiY8C3ctxq1tqvaCgkFb8cCA/edit?usp=sharing"",""บึงกาฬ!J166"")"),0)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IFERROR(__xludf.DUMMYFUNCTION("IMPORTRANGE(""https://docs.google.com/spreadsheets/d/1XL5vhW3sbDhbH9Cz0tuDiY8C3ctxq1tqvaCgkFb8cCA/edit?usp=sharing"",""บึงกาฬ!J166"")"),0)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IFERROR(__xludf.DUMMYFUNCTION("IMPORTRANGE(""https://docs.google.com/spreadsheets/d/1XL5vhW3sbDhbH9Cz0tuDiY8C3ctxq1tqvaCgkFb8cCA/edit?usp=sharing"",""บึงกาฬ!J166"")"),0)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IFERROR(__xludf.DUMMYFUNCTION("IMPORTRANGE(""https://docs.google.com/spreadsheets/d/1XL5vhW3sbDhbH9Cz0tuDiY8C3ctxq1tqvaCgkFb8cCA/edit?usp=sharing"",""บึงกาฬ!I263"")"),90)</f>
        <v>90</v>
      </c>
      <c r="J368" s="188">
        <f ca="1">IFERROR(__xludf.DUMMYFUNCTION("IMPORTRANGE(""https://docs.google.com/spreadsheets/d/1XL5vhW3sbDhbH9Cz0tuDiY8C3ctxq1tqvaCgkFb8cCA/edit?usp=sharing"",""บึงกาฬ!J263"")"),90)</f>
        <v>90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IFERROR(__xludf.DUMMYFUNCTION("IMPORTRANGE(""https://docs.google.com/spreadsheets/d/1XL5vhW3sbDhbH9Cz0tuDiY8C3ctxq1tqvaCgkFb8cCA/edit?usp=sharing"",""บึงกาฬ!I164"")"),0)</f>
        <v>0</v>
      </c>
      <c r="J369" s="204">
        <f ca="1">IFERROR(__xludf.DUMMYFUNCTION("IMPORTRANGE(""https://docs.google.com/spreadsheets/d/1XL5vhW3sbDhbH9Cz0tuDiY8C3ctxq1tqvaCgkFb8cCA/edit?usp=sharing"",""บึงกาฬ!J164"")"),0)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293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IFERROR(__xludf.DUMMYFUNCTION("IMPORTRANGE(""https://docs.google.com/spreadsheets/d/1XL5vhW3sbDhbH9Cz0tuDiY8C3ctxq1tqvaCgkFb8cCA/edit?usp=sharing"",""บึงกาฬ!I265"")"),90)</f>
        <v>90</v>
      </c>
      <c r="J370" s="204">
        <f ca="1">IFERROR(__xludf.DUMMYFUNCTION("IMPORTRANGE(""https://docs.google.com/spreadsheets/d/1XL5vhW3sbDhbH9Cz0tuDiY8C3ctxq1tqvaCgkFb8cCA/edit?usp=sharing"",""บึงกาฬ!J265"")"),90)</f>
        <v>90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IFERROR(__xludf.DUMMYFUNCTION("IMPORTRANGE(""https://docs.google.com/spreadsheets/d/1XL5vhW3sbDhbH9Cz0tuDiY8C3ctxq1tqvaCgkFb8cCA/edit?usp=sharing"",""บึงกาฬ!I164"")"),0)</f>
        <v>0</v>
      </c>
      <c r="J371" s="189">
        <f ca="1">IFERROR(__xludf.DUMMYFUNCTION("IMPORTRANGE(""https://docs.google.com/spreadsheets/d/1XL5vhW3sbDhbH9Cz0tuDiY8C3ctxq1tqvaCgkFb8cCA/edit?usp=sharing"",""บึงกาฬ!J164"")"),0)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293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IFERROR(__xludf.DUMMYFUNCTION("IMPORTRANGE(""https://docs.google.com/spreadsheets/d/1XL5vhW3sbDhbH9Cz0tuDiY8C3ctxq1tqvaCgkFb8cCA/edit?usp=sharing"",""บึงกาฬ!I267"")"),90)</f>
        <v>90</v>
      </c>
      <c r="J372" s="189">
        <f ca="1">IFERROR(__xludf.DUMMYFUNCTION("IMPORTRANGE(""https://docs.google.com/spreadsheets/d/1XL5vhW3sbDhbH9Cz0tuDiY8C3ctxq1tqvaCgkFb8cCA/edit?usp=sharing"",""บึงกาฬ!J267"")"),90)</f>
        <v>90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IFERROR(__xludf.DUMMYFUNCTION("IMPORTRANGE(""https://docs.google.com/spreadsheets/d/1XL5vhW3sbDhbH9Cz0tuDiY8C3ctxq1tqvaCgkFb8cCA/edit?usp=sharing"",""บึงกาฬ!I164"")"),0)</f>
        <v>0</v>
      </c>
      <c r="J373" s="204">
        <f ca="1">IFERROR(__xludf.DUMMYFUNCTION("IMPORTRANGE(""https://docs.google.com/spreadsheets/d/1XL5vhW3sbDhbH9Cz0tuDiY8C3ctxq1tqvaCgkFb8cCA/edit?usp=sharing"",""บึงกาฬ!J164"")"),0)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IFERROR(__xludf.DUMMYFUNCTION("IMPORTRANGE(""https://docs.google.com/spreadsheets/d/1XL5vhW3sbDhbH9Cz0tuDiY8C3ctxq1tqvaCgkFb8cCA/edit?usp=sharing"",""บึงกาฬ!I164"")"),0)</f>
        <v>0</v>
      </c>
      <c r="J374" s="188">
        <f ca="1">IFERROR(__xludf.DUMMYFUNCTION("IMPORTRANGE(""https://docs.google.com/spreadsheets/d/1XL5vhW3sbDhbH9Cz0tuDiY8C3ctxq1tqvaCgkFb8cCA/edit?usp=sharing"",""บึงกาฬ!J164"")"),0)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IFERROR(__xludf.DUMMYFUNCTION("IMPORTRANGE(""https://docs.google.com/spreadsheets/d/1XL5vhW3sbDhbH9Cz0tuDiY8C3ctxq1tqvaCgkFb8cCA/edit?usp=sharing"",""บึงกาฬ!I270"")"),150)</f>
        <v>150</v>
      </c>
      <c r="J375" s="188">
        <f ca="1">IFERROR(__xludf.DUMMYFUNCTION("IMPORTRANGE(""https://docs.google.com/spreadsheets/d/1XL5vhW3sbDhbH9Cz0tuDiY8C3ctxq1tqvaCgkFb8cCA/edit?usp=sharing"",""บึงกาฬ!J270"")"),0)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IFERROR(__xludf.DUMMYFUNCTION("IMPORTRANGE(""https://docs.google.com/spreadsheets/d/1XL5vhW3sbDhbH9Cz0tuDiY8C3ctxq1tqvaCgkFb8cCA/edit?usp=sharing"",""บึงกาฬ!I271"")"),90)</f>
        <v>90</v>
      </c>
      <c r="J376" s="189">
        <f ca="1">IFERROR(__xludf.DUMMYFUNCTION("IMPORTRANGE(""https://docs.google.com/spreadsheets/d/1XL5vhW3sbDhbH9Cz0tuDiY8C3ctxq1tqvaCgkFb8cCA/edit?usp=sharing"",""บึงกาฬ!J271"")"),0)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IFERROR(__xludf.DUMMYFUNCTION("IMPORTRANGE(""https://docs.google.com/spreadsheets/d/1XL5vhW3sbDhbH9Cz0tuDiY8C3ctxq1tqvaCgkFb8cCA/edit?usp=sharing"",""บึงกาฬ!I272"")"),60)</f>
        <v>60</v>
      </c>
      <c r="J377" s="204">
        <f ca="1">IFERROR(__xludf.DUMMYFUNCTION("IMPORTRANGE(""https://docs.google.com/spreadsheets/d/1XL5vhW3sbDhbH9Cz0tuDiY8C3ctxq1tqvaCgkFb8cCA/edit?usp=sharing"",""บึงกาฬ!J272"")"),0)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IFERROR(__xludf.DUMMYFUNCTION("IMPORTRANGE(""https://docs.google.com/spreadsheets/d/1XL5vhW3sbDhbH9Cz0tuDiY8C3ctxq1tqvaCgkFb8cCA/edit?usp=sharing"",""บึงกาฬ!J273"")"),0)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IFERROR(__xludf.DUMMYFUNCTION("IMPORTRANGE(""https://docs.google.com/spreadsheets/d/1XL5vhW3sbDhbH9Cz0tuDiY8C3ctxq1tqvaCgkFb8cCA/edit?usp=sharing"",""บึงกาฬ!J274"")"),0)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IFERROR(__xludf.DUMMYFUNCTION("IMPORTRANGE(""https://docs.google.com/spreadsheets/d/1XL5vhW3sbDhbH9Cz0tuDiY8C3ctxq1tqvaCgkFb8cCA/edit?usp=sharing"",""บึงกาฬ!I275"")"),1000)</f>
        <v>1000</v>
      </c>
      <c r="J380" s="371">
        <f ca="1">IFERROR(__xludf.DUMMYFUNCTION("IMPORTRANGE(""https://docs.google.com/spreadsheets/d/1XL5vhW3sbDhbH9Cz0tuDiY8C3ctxq1tqvaCgkFb8cCA/edit?usp=sharing"",""บึงกาฬ!J275"")"),0)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IFERROR(__xludf.DUMMYFUNCTION("IMPORTRANGE(""https://docs.google.com/spreadsheets/d/1XL5vhW3sbDhbH9Cz0tuDiY8C3ctxq1tqvaCgkFb8cCA/edit?usp=sharing"",""บึงกาฬ!L275"")"),1028520)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IFERROR(__xludf.DUMMYFUNCTION("IMPORTRANGE(""https://docs.google.com/spreadsheets/d/1XL5vhW3sbDhbH9Cz0tuDiY8C3ctxq1tqvaCgkFb8cCA/edit?usp=sharing"",""บึงกาฬ!M275"")"),182805)</f>
        <v>182805</v>
      </c>
      <c r="O380" s="373">
        <f ca="1">+IF(L380&gt;0,N380*100/L380,0)</f>
        <v>17.773597013183991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IFERROR(__xludf.DUMMYFUNCTION("IMPORTRANGE(""https://docs.google.com/spreadsheets/d/1XL5vhW3sbDhbH9Cz0tuDiY8C3ctxq1tqvaCgkFb8cCA/edit?usp=sharing"",""บึงกาฬ!I276"")"),100)</f>
        <v>100</v>
      </c>
      <c r="J381" s="371">
        <f ca="1">IFERROR(__xludf.DUMMYFUNCTION("IMPORTRANGE(""https://docs.google.com/spreadsheets/d/1XL5vhW3sbDhbH9Cz0tuDiY8C3ctxq1tqvaCgkFb8cCA/edit?usp=sharing"",""บึงกาฬ!J276"")"),100)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IFERROR(__xludf.DUMMYFUNCTION("IMPORTRANGE(""https://docs.google.com/spreadsheets/d/1XL5vhW3sbDhbH9Cz0tuDiY8C3ctxq1tqvaCgkFb8cCA/edit?usp=sharing"",""บึงกาฬ!L277"")"),0)</f>
        <v>0</v>
      </c>
      <c r="M382" s="164"/>
      <c r="N382" s="164">
        <f ca="1">IFERROR(__xludf.DUMMYFUNCTION("IMPORTRANGE(""https://docs.google.com/spreadsheets/d/1XL5vhW3sbDhbH9Cz0tuDiY8C3ctxq1tqvaCgkFb8cCA/edit?usp=sharing"",""บึงกาฬ!M277"")"),0)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IFERROR(__xludf.DUMMYFUNCTION("IMPORTRANGE(""https://docs.google.com/spreadsheets/d/1XL5vhW3sbDhbH9Cz0tuDiY8C3ctxq1tqvaCgkFb8cCA/edit?usp=sharing"",""บึงกาฬ!L278"")"),1028520)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IFERROR(__xludf.DUMMYFUNCTION("IMPORTRANGE(""https://docs.google.com/spreadsheets/d/1XL5vhW3sbDhbH9Cz0tuDiY8C3ctxq1tqvaCgkFb8cCA/edit?usp=sharing"",""บึงกาฬ!M278"")"),182805)</f>
        <v>182805</v>
      </c>
      <c r="O383" s="165">
        <f t="shared" ca="1" si="109"/>
        <v>17.773597013183991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IFERROR(__xludf.DUMMYFUNCTION("IMPORTRANGE(""https://docs.google.com/spreadsheets/d/1XL5vhW3sbDhbH9Cz0tuDiY8C3ctxq1tqvaCgkFb8cCA/edit?usp=sharing"",""บึงกาฬ!L279"")"),0)</f>
        <v>0</v>
      </c>
      <c r="M384" s="169"/>
      <c r="N384" s="169">
        <f ca="1">IFERROR(__xludf.DUMMYFUNCTION("IMPORTRANGE(""https://docs.google.com/spreadsheets/d/1XL5vhW3sbDhbH9Cz0tuDiY8C3ctxq1tqvaCgkFb8cCA/edit?usp=sharing"",""บึงกาฬ!M279"")"),0)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IFERROR(__xludf.DUMMYFUNCTION("IMPORTRANGE(""https://docs.google.com/spreadsheets/d/1XL5vhW3sbDhbH9Cz0tuDiY8C3ctxq1tqvaCgkFb8cCA/edit?usp=sharing"",""บึงกาฬ!L280"")"),1028520)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IFERROR(__xludf.DUMMYFUNCTION("IMPORTRANGE(""https://docs.google.com/spreadsheets/d/1XL5vhW3sbDhbH9Cz0tuDiY8C3ctxq1tqvaCgkFb8cCA/edit?usp=sharing"",""บึงกาฬ!M280"")"),182805)</f>
        <v>182805</v>
      </c>
      <c r="O385" s="169">
        <f t="shared" ca="1" si="109"/>
        <v>17.773597013183991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IFERROR(__xludf.DUMMYFUNCTION("IMPORTRANGE(""https://docs.google.com/spreadsheets/d/1XL5vhW3sbDhbH9Cz0tuDiY8C3ctxq1tqvaCgkFb8cCA/edit?usp=sharing"",""บึงกาฬ!M281"")"),103425)</f>
        <v>103425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IFERROR(__xludf.DUMMYFUNCTION("IMPORTRANGE(""https://docs.google.com/spreadsheets/d/1XL5vhW3sbDhbH9Cz0tuDiY8C3ctxq1tqvaCgkFb8cCA/edit?usp=sharing"",""บึงกาฬ!M282"")"),0)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IFERROR(__xludf.DUMMYFUNCTION("IMPORTRANGE(""https://docs.google.com/spreadsheets/d/1XL5vhW3sbDhbH9Cz0tuDiY8C3ctxq1tqvaCgkFb8cCA/edit?usp=sharing"",""บึงกาฬ!M283"")"),64070)</f>
        <v>64070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IFERROR(__xludf.DUMMYFUNCTION("IMPORTRANGE(""https://docs.google.com/spreadsheets/d/1XL5vhW3sbDhbH9Cz0tuDiY8C3ctxq1tqvaCgkFb8cCA/edit?usp=sharing"",""บึงกาฬ!M284"")"),15310)</f>
        <v>15310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IFERROR(__xludf.DUMMYFUNCTION("IMPORTRANGE(""https://docs.google.com/spreadsheets/d/1XL5vhW3sbDhbH9Cz0tuDiY8C3ctxq1tqvaCgkFb8cCA/edit?usp=sharing"",""บึงกาฬ!J286"")"),0)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IFERROR(__xludf.DUMMYFUNCTION("IMPORTRANGE(""https://docs.google.com/spreadsheets/d/1XL5vhW3sbDhbH9Cz0tuDiY8C3ctxq1tqvaCgkFb8cCA/edit?usp=sharing"",""บึงกาฬ!J287"")"),1)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IFERROR(__xludf.DUMMYFUNCTION("IMPORTRANGE(""https://docs.google.com/spreadsheets/d/1XL5vhW3sbDhbH9Cz0tuDiY8C3ctxq1tqvaCgkFb8cCA/edit?usp=sharing"",""บึงกาฬ!J288"")"),1)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IFERROR(__xludf.DUMMYFUNCTION("IMPORTRANGE(""https://docs.google.com/spreadsheets/d/1XL5vhW3sbDhbH9Cz0tuDiY8C3ctxq1tqvaCgkFb8cCA/edit?usp=sharing"",""บึงกาฬ!J289"")"),1)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IFERROR(__xludf.DUMMYFUNCTION("IMPORTRANGE(""https://docs.google.com/spreadsheets/d/1XL5vhW3sbDhbH9Cz0tuDiY8C3ctxq1tqvaCgkFb8cCA/edit?usp=sharing"",""บึงกาฬ!I291"")"),100)</f>
        <v>100</v>
      </c>
      <c r="J396" s="198">
        <f ca="1">IFERROR(__xludf.DUMMYFUNCTION("IMPORTRANGE(""https://docs.google.com/spreadsheets/d/1XL5vhW3sbDhbH9Cz0tuDiY8C3ctxq1tqvaCgkFb8cCA/edit?usp=sharing"",""บึงกาฬ!J291"")"),100)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IFERROR(__xludf.DUMMYFUNCTION("IMPORTRANGE(""https://docs.google.com/spreadsheets/d/1XL5vhW3sbDhbH9Cz0tuDiY8C3ctxq1tqvaCgkFb8cCA/edit?usp=sharing"",""บึงกาฬ!I292"")"),1000)</f>
        <v>1000</v>
      </c>
      <c r="J397" s="198">
        <f ca="1">IFERROR(__xludf.DUMMYFUNCTION("IMPORTRANGE(""https://docs.google.com/spreadsheets/d/1XL5vhW3sbDhbH9Cz0tuDiY8C3ctxq1tqvaCgkFb8cCA/edit?usp=sharing"",""บึงกาฬ!J292"")"),0)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IFERROR(__xludf.DUMMYFUNCTION("IMPORTRANGE(""https://docs.google.com/spreadsheets/d/1XL5vhW3sbDhbH9Cz0tuDiY8C3ctxq1tqvaCgkFb8cCA/edit?usp=sharing"",""บึงกาฬ!I293"")"),100)</f>
        <v>100</v>
      </c>
      <c r="J398" s="198">
        <f ca="1">IFERROR(__xludf.DUMMYFUNCTION("IMPORTRANGE(""https://docs.google.com/spreadsheets/d/1XL5vhW3sbDhbH9Cz0tuDiY8C3ctxq1tqvaCgkFb8cCA/edit?usp=sharing"",""บึงกาฬ!J293"")"),0)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IFERROR(__xludf.DUMMYFUNCTION("IMPORTRANGE(""https://docs.google.com/spreadsheets/d/1XL5vhW3sbDhbH9Cz0tuDiY8C3ctxq1tqvaCgkFb8cCA/edit?usp=sharing"",""บึงกาฬ!J294"")"),0)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IFERROR(__xludf.DUMMYFUNCTION("IMPORTRANGE(""https://docs.google.com/spreadsheets/d/1XL5vhW3sbDhbH9Cz0tuDiY8C3ctxq1tqvaCgkFb8cCA/edit?usp=sharing"",""บึงกาฬ!J295"")"),0)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IFERROR(__xludf.DUMMYFUNCTION("IMPORTRANGE(""https://docs.google.com/spreadsheets/d/1XL5vhW3sbDhbH9Cz0tuDiY8C3ctxq1tqvaCgkFb8cCA/edit?usp=sharing"",""บึงกาฬ!I296"")"),120)</f>
        <v>120</v>
      </c>
      <c r="J401" s="371">
        <f ca="1">IFERROR(__xludf.DUMMYFUNCTION("IMPORTRANGE(""https://docs.google.com/spreadsheets/d/1XL5vhW3sbDhbH9Cz0tuDiY8C3ctxq1tqvaCgkFb8cCA/edit?usp=sharing"",""บึงกาฬ!J296"")"),90)</f>
        <v>90</v>
      </c>
      <c r="K401" s="372">
        <f t="shared" ref="K401:K402" ca="1" si="111">IF(I401&gt;0,J401*100/I401,0)</f>
        <v>75</v>
      </c>
      <c r="L401" s="373">
        <f ca="1">IFERROR(__xludf.DUMMYFUNCTION("IMPORTRANGE(""https://docs.google.com/spreadsheets/d/1XL5vhW3sbDhbH9Cz0tuDiY8C3ctxq1tqvaCgkFb8cCA/edit?usp=sharing"",""บึงกาฬ!L296"")"),144560)</f>
        <v>144560</v>
      </c>
      <c r="M401" s="373"/>
      <c r="N401" s="373">
        <f ca="1">IFERROR(__xludf.DUMMYFUNCTION("IMPORTRANGE(""https://docs.google.com/spreadsheets/d/1XL5vhW3sbDhbH9Cz0tuDiY8C3ctxq1tqvaCgkFb8cCA/edit?usp=sharing"",""บึงกาฬ!M296"")"),85345)</f>
        <v>85345</v>
      </c>
      <c r="O401" s="373">
        <f ca="1">+IF(L401&gt;0,N401*100/L401,0)</f>
        <v>59.03776978417266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IFERROR(__xludf.DUMMYFUNCTION("IMPORTRANGE(""https://docs.google.com/spreadsheets/d/1XL5vhW3sbDhbH9Cz0tuDiY8C3ctxq1tqvaCgkFb8cCA/edit?usp=sharing"",""บึงกาฬ!I297"")"),40)</f>
        <v>40</v>
      </c>
      <c r="J402" s="371">
        <f ca="1">IFERROR(__xludf.DUMMYFUNCTION("IMPORTRANGE(""https://docs.google.com/spreadsheets/d/1XL5vhW3sbDhbH9Cz0tuDiY8C3ctxq1tqvaCgkFb8cCA/edit?usp=sharing"",""บึงกาฬ!J297"")"),30)</f>
        <v>30</v>
      </c>
      <c r="K402" s="372">
        <f t="shared" ca="1" si="111"/>
        <v>75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IFERROR(__xludf.DUMMYFUNCTION("IMPORTRANGE(""https://docs.google.com/spreadsheets/d/1XL5vhW3sbDhbH9Cz0tuDiY8C3ctxq1tqvaCgkFb8cCA/edit?usp=sharing"",""บึงกาฬ!L298"")"),0)</f>
        <v>0</v>
      </c>
      <c r="M403" s="164"/>
      <c r="N403" s="169">
        <f ca="1">IFERROR(__xludf.DUMMYFUNCTION("IMPORTRANGE(""https://docs.google.com/spreadsheets/d/1XL5vhW3sbDhbH9Cz0tuDiY8C3ctxq1tqvaCgkFb8cCA/edit?usp=sharing"",""บึงกาฬ!M298"")"),0)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IFERROR(__xludf.DUMMYFUNCTION("IMPORTRANGE(""https://docs.google.com/spreadsheets/d/1XL5vhW3sbDhbH9Cz0tuDiY8C3ctxq1tqvaCgkFb8cCA/edit?usp=sharing"",""บึงกาฬ!L299"")"),144560)</f>
        <v>144560</v>
      </c>
      <c r="M404" s="165"/>
      <c r="N404" s="169">
        <f ca="1">IFERROR(__xludf.DUMMYFUNCTION("IMPORTRANGE(""https://docs.google.com/spreadsheets/d/1XL5vhW3sbDhbH9Cz0tuDiY8C3ctxq1tqvaCgkFb8cCA/edit?usp=sharing"",""บึงกาฬ!M299"")"),85345)</f>
        <v>85345</v>
      </c>
      <c r="O404" s="169">
        <f t="shared" ca="1" si="112"/>
        <v>59.03776978417266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IFERROR(__xludf.DUMMYFUNCTION("IMPORTRANGE(""https://docs.google.com/spreadsheets/d/1XL5vhW3sbDhbH9Cz0tuDiY8C3ctxq1tqvaCgkFb8cCA/edit?usp=sharing"",""บึงกาฬ!L300"")"),0)</f>
        <v>0</v>
      </c>
      <c r="M405" s="169"/>
      <c r="N405" s="169">
        <f ca="1">IFERROR(__xludf.DUMMYFUNCTION("IMPORTRANGE(""https://docs.google.com/spreadsheets/d/1XL5vhW3sbDhbH9Cz0tuDiY8C3ctxq1tqvaCgkFb8cCA/edit?usp=sharing"",""บึงกาฬ!M300"")"),0)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IFERROR(__xludf.DUMMYFUNCTION("IMPORTRANGE(""https://docs.google.com/spreadsheets/d/1XL5vhW3sbDhbH9Cz0tuDiY8C3ctxq1tqvaCgkFb8cCA/edit?usp=sharing"",""บึงกาฬ!L301"")"),144560)</f>
        <v>144560</v>
      </c>
      <c r="M406" s="169"/>
      <c r="N406" s="169">
        <f ca="1">IFERROR(__xludf.DUMMYFUNCTION("IMPORTRANGE(""https://docs.google.com/spreadsheets/d/1XL5vhW3sbDhbH9Cz0tuDiY8C3ctxq1tqvaCgkFb8cCA/edit?usp=sharing"",""บึงกาฬ!M301"")"),85345)</f>
        <v>85345</v>
      </c>
      <c r="O406" s="169">
        <f t="shared" ca="1" si="112"/>
        <v>59.03776978417266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IFERROR(__xludf.DUMMYFUNCTION("IMPORTRANGE(""https://docs.google.com/spreadsheets/d/1XL5vhW3sbDhbH9Cz0tuDiY8C3ctxq1tqvaCgkFb8cCA/edit?usp=sharing"",""บึงกาฬ!M302"")"),85345)</f>
        <v>85345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IFERROR(__xludf.DUMMYFUNCTION("IMPORTRANGE(""https://docs.google.com/spreadsheets/d/1XL5vhW3sbDhbH9Cz0tuDiY8C3ctxq1tqvaCgkFb8cCA/edit?usp=sharing"",""บึงกาฬ!M303"")"),0)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IFERROR(__xludf.DUMMYFUNCTION("IMPORTRANGE(""https://docs.google.com/spreadsheets/d/1XL5vhW3sbDhbH9Cz0tuDiY8C3ctxq1tqvaCgkFb8cCA/edit?usp=sharing"",""บึงกาฬ!M304"")"),0)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IFERROR(__xludf.DUMMYFUNCTION("IMPORTRANGE(""https://docs.google.com/spreadsheets/d/1XL5vhW3sbDhbH9Cz0tuDiY8C3ctxq1tqvaCgkFb8cCA/edit?usp=sharing"",""บึงกาฬ!M305"")"),0)</f>
        <v>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IFERROR(__xludf.DUMMYFUNCTION("IMPORTRANGE(""https://docs.google.com/spreadsheets/d/1XL5vhW3sbDhbH9Cz0tuDiY8C3ctxq1tqvaCgkFb8cCA/edit?usp=sharing"",""บึงกาฬ!J307"")"),0)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IFERROR(__xludf.DUMMYFUNCTION("IMPORTRANGE(""https://docs.google.com/spreadsheets/d/1XL5vhW3sbDhbH9Cz0tuDiY8C3ctxq1tqvaCgkFb8cCA/edit?usp=sharing"",""บึงกาฬ!J308"")"),1)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IFERROR(__xludf.DUMMYFUNCTION("IMPORTRANGE(""https://docs.google.com/spreadsheets/d/1XL5vhW3sbDhbH9Cz0tuDiY8C3ctxq1tqvaCgkFb8cCA/edit?usp=sharing"",""บึงกาฬ!J309"")"),1)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IFERROR(__xludf.DUMMYFUNCTION("IMPORTRANGE(""https://docs.google.com/spreadsheets/d/1XL5vhW3sbDhbH9Cz0tuDiY8C3ctxq1tqvaCgkFb8cCA/edit?usp=sharing"",""บึงกาฬ!J310"")"),0)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IFERROR(__xludf.DUMMYFUNCTION("IMPORTRANGE(""https://docs.google.com/spreadsheets/d/1XL5vhW3sbDhbH9Cz0tuDiY8C3ctxq1tqvaCgkFb8cCA/edit?usp=sharing"",""บึงกาฬ!I311"")"),40)</f>
        <v>40</v>
      </c>
      <c r="J416" s="201">
        <f ca="1">IFERROR(__xludf.DUMMYFUNCTION("IMPORTRANGE(""https://docs.google.com/spreadsheets/d/1XL5vhW3sbDhbH9Cz0tuDiY8C3ctxq1tqvaCgkFb8cCA/edit?usp=sharing"",""บึงกาฬ!J311"")"),30)</f>
        <v>30</v>
      </c>
      <c r="K416" s="202">
        <f t="shared" ref="K416:K432" ca="1" si="113">IF(I416&gt;0,J416*100/I416,0)</f>
        <v>75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IFERROR(__xludf.DUMMYFUNCTION("IMPORTRANGE(""https://docs.google.com/spreadsheets/d/1XL5vhW3sbDhbH9Cz0tuDiY8C3ctxq1tqvaCgkFb8cCA/edit?usp=sharing"",""บึงกาฬ!I312"")"),10)</f>
        <v>10</v>
      </c>
      <c r="J417" s="392">
        <f ca="1">IFERROR(__xludf.DUMMYFUNCTION("IMPORTRANGE(""https://docs.google.com/spreadsheets/d/1XL5vhW3sbDhbH9Cz0tuDiY8C3ctxq1tqvaCgkFb8cCA/edit?usp=sharing"",""บึงกาฬ!J312"")"),10)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IFERROR(__xludf.DUMMYFUNCTION("IMPORTRANGE(""https://docs.google.com/spreadsheets/d/1XL5vhW3sbDhbH9Cz0tuDiY8C3ctxq1tqvaCgkFb8cCA/edit?usp=sharing"",""บึงกาฬ!I313"")"),30)</f>
        <v>30</v>
      </c>
      <c r="J418" s="393">
        <f ca="1">IFERROR(__xludf.DUMMYFUNCTION("IMPORTRANGE(""https://docs.google.com/spreadsheets/d/1XL5vhW3sbDhbH9Cz0tuDiY8C3ctxq1tqvaCgkFb8cCA/edit?usp=sharing"",""บึงกาฬ!J313"")"),30)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IFERROR(__xludf.DUMMYFUNCTION("IMPORTRANGE(""https://docs.google.com/spreadsheets/d/1XL5vhW3sbDhbH9Cz0tuDiY8C3ctxq1tqvaCgkFb8cCA/edit?usp=sharing"",""บึงกาฬ!I314"")"),10)</f>
        <v>10</v>
      </c>
      <c r="J419" s="394">
        <f ca="1">IFERROR(__xludf.DUMMYFUNCTION("IMPORTRANGE(""https://docs.google.com/spreadsheets/d/1XL5vhW3sbDhbH9Cz0tuDiY8C3ctxq1tqvaCgkFb8cCA/edit?usp=sharing"",""บึงกาฬ!J314"")"),10)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IFERROR(__xludf.DUMMYFUNCTION("IMPORTRANGE(""https://docs.google.com/spreadsheets/d/1XL5vhW3sbDhbH9Cz0tuDiY8C3ctxq1tqvaCgkFb8cCA/edit?usp=sharing"",""บึงกาฬ!I315"")"),10)</f>
        <v>10</v>
      </c>
      <c r="J420" s="394">
        <f ca="1">IFERROR(__xludf.DUMMYFUNCTION("IMPORTRANGE(""https://docs.google.com/spreadsheets/d/1XL5vhW3sbDhbH9Cz0tuDiY8C3ctxq1tqvaCgkFb8cCA/edit?usp=sharing"",""บึงกาฬ!J315"")"),10)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IFERROR(__xludf.DUMMYFUNCTION("IMPORTRANGE(""https://docs.google.com/spreadsheets/d/1XL5vhW3sbDhbH9Cz0tuDiY8C3ctxq1tqvaCgkFb8cCA/edit?usp=sharing"",""บึงกาฬ!I316"")"),20)</f>
        <v>20</v>
      </c>
      <c r="J421" s="392">
        <f ca="1">IFERROR(__xludf.DUMMYFUNCTION("IMPORTRANGE(""https://docs.google.com/spreadsheets/d/1XL5vhW3sbDhbH9Cz0tuDiY8C3ctxq1tqvaCgkFb8cCA/edit?usp=sharing"",""บึงกาฬ!J316"")"),20)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IFERROR(__xludf.DUMMYFUNCTION("IMPORTRANGE(""https://docs.google.com/spreadsheets/d/1XL5vhW3sbDhbH9Cz0tuDiY8C3ctxq1tqvaCgkFb8cCA/edit?usp=sharing"",""บึงกาฬ!I317"")"),60)</f>
        <v>60</v>
      </c>
      <c r="J422" s="393">
        <f ca="1">IFERROR(__xludf.DUMMYFUNCTION("IMPORTRANGE(""https://docs.google.com/spreadsheets/d/1XL5vhW3sbDhbH9Cz0tuDiY8C3ctxq1tqvaCgkFb8cCA/edit?usp=sharing"",""บึงกาฬ!J317"")"),60)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IFERROR(__xludf.DUMMYFUNCTION("IMPORTRANGE(""https://docs.google.com/spreadsheets/d/1XL5vhW3sbDhbH9Cz0tuDiY8C3ctxq1tqvaCgkFb8cCA/edit?usp=sharing"",""บึงกาฬ!I318"")"),20)</f>
        <v>20</v>
      </c>
      <c r="J423" s="394">
        <f ca="1">IFERROR(__xludf.DUMMYFUNCTION("IMPORTRANGE(""https://docs.google.com/spreadsheets/d/1XL5vhW3sbDhbH9Cz0tuDiY8C3ctxq1tqvaCgkFb8cCA/edit?usp=sharing"",""บึงกาฬ!J318"")"),20)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IFERROR(__xludf.DUMMYFUNCTION("IMPORTRANGE(""https://docs.google.com/spreadsheets/d/1XL5vhW3sbDhbH9Cz0tuDiY8C3ctxq1tqvaCgkFb8cCA/edit?usp=sharing"",""บึงกาฬ!I319"")"),20)</f>
        <v>20</v>
      </c>
      <c r="J424" s="394">
        <f ca="1">IFERROR(__xludf.DUMMYFUNCTION("IMPORTRANGE(""https://docs.google.com/spreadsheets/d/1XL5vhW3sbDhbH9Cz0tuDiY8C3ctxq1tqvaCgkFb8cCA/edit?usp=sharing"",""บึงกาฬ!J319"")"),20)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IFERROR(__xludf.DUMMYFUNCTION("IMPORTRANGE(""https://docs.google.com/spreadsheets/d/1XL5vhW3sbDhbH9Cz0tuDiY8C3ctxq1tqvaCgkFb8cCA/edit?usp=sharing"",""บึงกาฬ!I320"")"),20)</f>
        <v>20</v>
      </c>
      <c r="J425" s="394">
        <f ca="1">IFERROR(__xludf.DUMMYFUNCTION("IMPORTRANGE(""https://docs.google.com/spreadsheets/d/1XL5vhW3sbDhbH9Cz0tuDiY8C3ctxq1tqvaCgkFb8cCA/edit?usp=sharing"",""บึงกาฬ!J320"")"),20)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IFERROR(__xludf.DUMMYFUNCTION("IMPORTRANGE(""https://docs.google.com/spreadsheets/d/1XL5vhW3sbDhbH9Cz0tuDiY8C3ctxq1tqvaCgkFb8cCA/edit?usp=sharing"",""บึงกาฬ!I321"")"),10)</f>
        <v>10</v>
      </c>
      <c r="J426" s="392">
        <f ca="1">IFERROR(__xludf.DUMMYFUNCTION("IMPORTRANGE(""https://docs.google.com/spreadsheets/d/1XL5vhW3sbDhbH9Cz0tuDiY8C3ctxq1tqvaCgkFb8cCA/edit?usp=sharing"",""บึงกาฬ!J321"")"),0)</f>
        <v>0</v>
      </c>
      <c r="K426" s="202">
        <f t="shared" ca="1" si="113"/>
        <v>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IFERROR(__xludf.DUMMYFUNCTION("IMPORTRANGE(""https://docs.google.com/spreadsheets/d/1XL5vhW3sbDhbH9Cz0tuDiY8C3ctxq1tqvaCgkFb8cCA/edit?usp=sharing"",""บึงกาฬ!I322"")"),30)</f>
        <v>30</v>
      </c>
      <c r="J427" s="393">
        <f ca="1">IFERROR(__xludf.DUMMYFUNCTION("IMPORTRANGE(""https://docs.google.com/spreadsheets/d/1XL5vhW3sbDhbH9Cz0tuDiY8C3ctxq1tqvaCgkFb8cCA/edit?usp=sharing"",""บึงกาฬ!J322"")"),0)</f>
        <v>0</v>
      </c>
      <c r="K427" s="202">
        <f t="shared" ca="1" si="113"/>
        <v>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IFERROR(__xludf.DUMMYFUNCTION("IMPORTRANGE(""https://docs.google.com/spreadsheets/d/1XL5vhW3sbDhbH9Cz0tuDiY8C3ctxq1tqvaCgkFb8cCA/edit?usp=sharing"",""บึงกาฬ!I323"")"),10)</f>
        <v>10</v>
      </c>
      <c r="J428" s="394">
        <f ca="1">IFERROR(__xludf.DUMMYFUNCTION("IMPORTRANGE(""https://docs.google.com/spreadsheets/d/1XL5vhW3sbDhbH9Cz0tuDiY8C3ctxq1tqvaCgkFb8cCA/edit?usp=sharing"",""บึงกาฬ!J323"")"),0)</f>
        <v>0</v>
      </c>
      <c r="K428" s="163">
        <f t="shared" ca="1" si="113"/>
        <v>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IFERROR(__xludf.DUMMYFUNCTION("IMPORTRANGE(""https://docs.google.com/spreadsheets/d/1XL5vhW3sbDhbH9Cz0tuDiY8C3ctxq1tqvaCgkFb8cCA/edit?usp=sharing"",""บึงกาฬ!I324"")"),10)</f>
        <v>10</v>
      </c>
      <c r="J429" s="394">
        <f ca="1">IFERROR(__xludf.DUMMYFUNCTION("IMPORTRANGE(""https://docs.google.com/spreadsheets/d/1XL5vhW3sbDhbH9Cz0tuDiY8C3ctxq1tqvaCgkFb8cCA/edit?usp=sharing"",""บึงกาฬ!J324"")"),0)</f>
        <v>0</v>
      </c>
      <c r="K429" s="163">
        <f t="shared" ca="1" si="113"/>
        <v>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IFERROR(__xludf.DUMMYFUNCTION("IMPORTRANGE(""https://docs.google.com/spreadsheets/d/1XL5vhW3sbDhbH9Cz0tuDiY8C3ctxq1tqvaCgkFb8cCA/edit?usp=sharing"",""บึงกาฬ!I325"")"),30)</f>
        <v>30</v>
      </c>
      <c r="J430" s="392">
        <f ca="1">IFERROR(__xludf.DUMMYFUNCTION("IMPORTRANGE(""https://docs.google.com/spreadsheets/d/1XL5vhW3sbDhbH9Cz0tuDiY8C3ctxq1tqvaCgkFb8cCA/edit?usp=sharing"",""บึงกาฬ!J325"")"),0)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IFERROR(__xludf.DUMMYFUNCTION("IMPORTRANGE(""https://docs.google.com/spreadsheets/d/1XL5vhW3sbDhbH9Cz0tuDiY8C3ctxq1tqvaCgkFb8cCA/edit?usp=sharing"",""บึงกาฬ!I326"")"),10)</f>
        <v>10</v>
      </c>
      <c r="J431" s="394">
        <f ca="1">IFERROR(__xludf.DUMMYFUNCTION("IMPORTRANGE(""https://docs.google.com/spreadsheets/d/1XL5vhW3sbDhbH9Cz0tuDiY8C3ctxq1tqvaCgkFb8cCA/edit?usp=sharing"",""บึงกาฬ!J326"")"),0)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IFERROR(__xludf.DUMMYFUNCTION("IMPORTRANGE(""https://docs.google.com/spreadsheets/d/1XL5vhW3sbDhbH9Cz0tuDiY8C3ctxq1tqvaCgkFb8cCA/edit?usp=sharing"",""บึงกาฬ!I327"")"),20)</f>
        <v>20</v>
      </c>
      <c r="J432" s="394">
        <f ca="1">IFERROR(__xludf.DUMMYFUNCTION("IMPORTRANGE(""https://docs.google.com/spreadsheets/d/1XL5vhW3sbDhbH9Cz0tuDiY8C3ctxq1tqvaCgkFb8cCA/edit?usp=sharing"",""บึงกาฬ!J327"")"),0)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IFERROR(__xludf.DUMMYFUNCTION("IMPORTRANGE(""https://docs.google.com/spreadsheets/d/1XL5vhW3sbDhbH9Cz0tuDiY8C3ctxq1tqvaCgkFb8cCA/edit?usp=sharing"",""บึงกาฬ!J328"")"),0)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IFERROR(__xludf.DUMMYFUNCTION("IMPORTRANGE(""https://docs.google.com/spreadsheets/d/1XL5vhW3sbDhbH9Cz0tuDiY8C3ctxq1tqvaCgkFb8cCA/edit?usp=sharing"",""บึงกาฬ!J329"")"),0)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IFERROR(__xludf.DUMMYFUNCTION("IMPORTRANGE(""https://docs.google.com/spreadsheets/d/1XL5vhW3sbDhbH9Cz0tuDiY8C3ctxq1tqvaCgkFb8cCA/edit?usp=sharing"",""บึงกาฬ!I330"")"),25)</f>
        <v>25</v>
      </c>
      <c r="J435" s="410">
        <f ca="1">IFERROR(__xludf.DUMMYFUNCTION("IMPORTRANGE(""https://docs.google.com/spreadsheets/d/1XL5vhW3sbDhbH9Cz0tuDiY8C3ctxq1tqvaCgkFb8cCA/edit?usp=sharing"",""บึงกาฬ!J330"")"),25)</f>
        <v>25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IFERROR(__xludf.DUMMYFUNCTION("IMPORTRANGE(""https://docs.google.com/spreadsheets/d/1XL5vhW3sbDhbH9Cz0tuDiY8C3ctxq1tqvaCgkFb8cCA/edit?usp=sharing"",""บึงกาฬ!L330"")"),110500)</f>
        <v>110500</v>
      </c>
      <c r="M435" s="412"/>
      <c r="N435" s="412">
        <f ca="1">IFERROR(__xludf.DUMMYFUNCTION("IMPORTRANGE(""https://docs.google.com/spreadsheets/d/1XL5vhW3sbDhbH9Cz0tuDiY8C3ctxq1tqvaCgkFb8cCA/edit?usp=sharing"",""บึงกาฬ!M330"")"),99075)</f>
        <v>99075</v>
      </c>
      <c r="O435" s="412">
        <f t="shared" ref="O435:O439" ca="1" si="114">+IF(L435&gt;0,N435*100/L435,0)</f>
        <v>89.660633484162901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IFERROR(__xludf.DUMMYFUNCTION("IMPORTRANGE(""https://docs.google.com/spreadsheets/d/1XL5vhW3sbDhbH9Cz0tuDiY8C3ctxq1tqvaCgkFb8cCA/edit?usp=sharing"",""บึงกาฬ!L331"")"),0)</f>
        <v>0</v>
      </c>
      <c r="M436" s="164"/>
      <c r="N436" s="169">
        <f ca="1">IFERROR(__xludf.DUMMYFUNCTION("IMPORTRANGE(""https://docs.google.com/spreadsheets/d/1XL5vhW3sbDhbH9Cz0tuDiY8C3ctxq1tqvaCgkFb8cCA/edit?usp=sharing"",""บึงกาฬ!M331"")"),0)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IFERROR(__xludf.DUMMYFUNCTION("IMPORTRANGE(""https://docs.google.com/spreadsheets/d/1XL5vhW3sbDhbH9Cz0tuDiY8C3ctxq1tqvaCgkFb8cCA/edit?usp=sharing"",""บึงกาฬ!L332"")"),110500)</f>
        <v>110500</v>
      </c>
      <c r="M437" s="165"/>
      <c r="N437" s="169">
        <f ca="1">IFERROR(__xludf.DUMMYFUNCTION("IMPORTRANGE(""https://docs.google.com/spreadsheets/d/1XL5vhW3sbDhbH9Cz0tuDiY8C3ctxq1tqvaCgkFb8cCA/edit?usp=sharing"",""บึงกาฬ!M332"")"),99075)</f>
        <v>99075</v>
      </c>
      <c r="O437" s="169">
        <f t="shared" ca="1" si="114"/>
        <v>89.660633484162901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IFERROR(__xludf.DUMMYFUNCTION("IMPORTRANGE(""https://docs.google.com/spreadsheets/d/1XL5vhW3sbDhbH9Cz0tuDiY8C3ctxq1tqvaCgkFb8cCA/edit?usp=sharing"",""บึงกาฬ!L333"")"),0)</f>
        <v>0</v>
      </c>
      <c r="M438" s="169"/>
      <c r="N438" s="169">
        <f ca="1">IFERROR(__xludf.DUMMYFUNCTION("IMPORTRANGE(""https://docs.google.com/spreadsheets/d/1XL5vhW3sbDhbH9Cz0tuDiY8C3ctxq1tqvaCgkFb8cCA/edit?usp=sharing"",""บึงกาฬ!M333"")"),0)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IFERROR(__xludf.DUMMYFUNCTION("IMPORTRANGE(""https://docs.google.com/spreadsheets/d/1XL5vhW3sbDhbH9Cz0tuDiY8C3ctxq1tqvaCgkFb8cCA/edit?usp=sharing"",""บึงกาฬ!L334"")"),110500)</f>
        <v>110500</v>
      </c>
      <c r="M439" s="169"/>
      <c r="N439" s="169">
        <f ca="1">IFERROR(__xludf.DUMMYFUNCTION("IMPORTRANGE(""https://docs.google.com/spreadsheets/d/1XL5vhW3sbDhbH9Cz0tuDiY8C3ctxq1tqvaCgkFb8cCA/edit?usp=sharing"",""บึงกาฬ!M334"")"),99075)</f>
        <v>99075</v>
      </c>
      <c r="O439" s="169">
        <f t="shared" ca="1" si="114"/>
        <v>89.660633484162901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IFERROR(__xludf.DUMMYFUNCTION("IMPORTRANGE(""https://docs.google.com/spreadsheets/d/1XL5vhW3sbDhbH9Cz0tuDiY8C3ctxq1tqvaCgkFb8cCA/edit?usp=sharing"",""บึงกาฬ!M335"")"),99075)</f>
        <v>99075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IFERROR(__xludf.DUMMYFUNCTION("IMPORTRANGE(""https://docs.google.com/spreadsheets/d/1XL5vhW3sbDhbH9Cz0tuDiY8C3ctxq1tqvaCgkFb8cCA/edit?usp=sharing"",""บึงกาฬ!M336"")"),0)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IFERROR(__xludf.DUMMYFUNCTION("IMPORTRANGE(""https://docs.google.com/spreadsheets/d/1XL5vhW3sbDhbH9Cz0tuDiY8C3ctxq1tqvaCgkFb8cCA/edit?usp=sharing"",""บึงกาฬ!M337"")"),0)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IFERROR(__xludf.DUMMYFUNCTION("IMPORTRANGE(""https://docs.google.com/spreadsheets/d/1XL5vhW3sbDhbH9Cz0tuDiY8C3ctxq1tqvaCgkFb8cCA/edit?usp=sharing"",""บึงกาฬ!M338"")"),0)</f>
        <v>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IFERROR(__xludf.DUMMYFUNCTION("IMPORTRANGE(""https://docs.google.com/spreadsheets/d/1XL5vhW3sbDhbH9Cz0tuDiY8C3ctxq1tqvaCgkFb8cCA/edit?usp=sharing"",""บึงกาฬ!J340"")"),0)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IFERROR(__xludf.DUMMYFUNCTION("IMPORTRANGE(""https://docs.google.com/spreadsheets/d/1XL5vhW3sbDhbH9Cz0tuDiY8C3ctxq1tqvaCgkFb8cCA/edit?usp=sharing"",""บึงกาฬ!J341"")"),1)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IFERROR(__xludf.DUMMYFUNCTION("IMPORTRANGE(""https://docs.google.com/spreadsheets/d/1XL5vhW3sbDhbH9Cz0tuDiY8C3ctxq1tqvaCgkFb8cCA/edit?usp=sharing"",""บึงกาฬ!J342"")"),0)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IFERROR(__xludf.DUMMYFUNCTION("IMPORTRANGE(""https://docs.google.com/spreadsheets/d/1XL5vhW3sbDhbH9Cz0tuDiY8C3ctxq1tqvaCgkFb8cCA/edit?usp=sharing"",""บึงกาฬ!J343"")"),0)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IFERROR(__xludf.DUMMYFUNCTION("IMPORTRANGE(""https://docs.google.com/spreadsheets/d/1XL5vhW3sbDhbH9Cz0tuDiY8C3ctxq1tqvaCgkFb8cCA/edit?usp=sharing"",""บึงกาฬ!I344"")"),25)</f>
        <v>25</v>
      </c>
      <c r="J449" s="201">
        <f ca="1">IFERROR(__xludf.DUMMYFUNCTION("IMPORTRANGE(""https://docs.google.com/spreadsheets/d/1XL5vhW3sbDhbH9Cz0tuDiY8C3ctxq1tqvaCgkFb8cCA/edit?usp=sharing"",""บึงกาฬ!J344"")"),25)</f>
        <v>25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IFERROR(__xludf.DUMMYFUNCTION("IMPORTRANGE(""https://docs.google.com/spreadsheets/d/1XL5vhW3sbDhbH9Cz0tuDiY8C3ctxq1tqvaCgkFb8cCA/edit?usp=sharing"",""บึงกาฬ!I345"")"),25)</f>
        <v>25</v>
      </c>
      <c r="J450" s="189">
        <f ca="1">IFERROR(__xludf.DUMMYFUNCTION("IMPORTRANGE(""https://docs.google.com/spreadsheets/d/1XL5vhW3sbDhbH9Cz0tuDiY8C3ctxq1tqvaCgkFb8cCA/edit?usp=sharing"",""บึงกาฬ!J345"")"),25)</f>
        <v>25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IFERROR(__xludf.DUMMYFUNCTION("IMPORTRANGE(""https://docs.google.com/spreadsheets/d/1XL5vhW3sbDhbH9Cz0tuDiY8C3ctxq1tqvaCgkFb8cCA/edit?usp=sharing"",""บึงกาฬ!I346"")"),0)</f>
        <v>0</v>
      </c>
      <c r="J451" s="188">
        <f ca="1">IFERROR(__xludf.DUMMYFUNCTION("IMPORTRANGE(""https://docs.google.com/spreadsheets/d/1XL5vhW3sbDhbH9Cz0tuDiY8C3ctxq1tqvaCgkFb8cCA/edit?usp=sharing"",""บึงกาฬ!J346"")"),0)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IFERROR(__xludf.DUMMYFUNCTION("IMPORTRANGE(""https://docs.google.com/spreadsheets/d/1XL5vhW3sbDhbH9Cz0tuDiY8C3ctxq1tqvaCgkFb8cCA/edit?usp=sharing"",""บึงกาฬ!I347"")"),0)</f>
        <v>0</v>
      </c>
      <c r="J452" s="188">
        <f ca="1">IFERROR(__xludf.DUMMYFUNCTION("IMPORTRANGE(""https://docs.google.com/spreadsheets/d/1XL5vhW3sbDhbH9Cz0tuDiY8C3ctxq1tqvaCgkFb8cCA/edit?usp=sharing"",""บึงกาฬ!J347"")"),0)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IFERROR(__xludf.DUMMYFUNCTION("IMPORTRANGE(""https://docs.google.com/spreadsheets/d/1XL5vhW3sbDhbH9Cz0tuDiY8C3ctxq1tqvaCgkFb8cCA/edit?usp=sharing"",""บึงกาฬ!J348"")"),0)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IFERROR(__xludf.DUMMYFUNCTION("IMPORTRANGE(""https://docs.google.com/spreadsheets/d/1XL5vhW3sbDhbH9Cz0tuDiY8C3ctxq1tqvaCgkFb8cCA/edit?usp=sharing"",""บึงกาฬ!J349"")"),0)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IFERROR(__xludf.DUMMYFUNCTION("IMPORTRANGE(""https://docs.google.com/spreadsheets/d/1XL5vhW3sbDhbH9Cz0tuDiY8C3ctxq1tqvaCgkFb8cCA/edit?usp=sharing"",""บึงกาฬ!I350"")"),38688)</f>
        <v>38688</v>
      </c>
      <c r="J455" s="371">
        <f ca="1">IFERROR(__xludf.DUMMYFUNCTION("IMPORTRANGE(""https://docs.google.com/spreadsheets/d/1XL5vhW3sbDhbH9Cz0tuDiY8C3ctxq1tqvaCgkFb8cCA/edit?usp=sharing"",""บึงกาฬ!J350"")"),38688)</f>
        <v>38688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IFERROR(__xludf.DUMMYFUNCTION("IMPORTRANGE(""https://docs.google.com/spreadsheets/d/1XL5vhW3sbDhbH9Cz0tuDiY8C3ctxq1tqvaCgkFb8cCA/edit?usp=sharing"",""บึงกาฬ!L350"")"),381845)</f>
        <v>381845</v>
      </c>
      <c r="M455" s="373"/>
      <c r="N455" s="373">
        <f ca="1">IFERROR(__xludf.DUMMYFUNCTION("IMPORTRANGE(""https://docs.google.com/spreadsheets/d/1XL5vhW3sbDhbH9Cz0tuDiY8C3ctxq1tqvaCgkFb8cCA/edit?usp=sharing"",""บึงกาฬ!M350"")"),28886)</f>
        <v>28886</v>
      </c>
      <c r="O455" s="373">
        <f t="shared" ref="O455:O459" ca="1" si="116">+IF(L455&gt;0,N455*100/L455,0)</f>
        <v>7.56484961175346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IFERROR(__xludf.DUMMYFUNCTION("IMPORTRANGE(""https://docs.google.com/spreadsheets/d/1XL5vhW3sbDhbH9Cz0tuDiY8C3ctxq1tqvaCgkFb8cCA/edit?usp=sharing"",""บึงกาฬ!L351"")"),0)</f>
        <v>0</v>
      </c>
      <c r="M456" s="164"/>
      <c r="N456" s="169">
        <f ca="1">IFERROR(__xludf.DUMMYFUNCTION("IMPORTRANGE(""https://docs.google.com/spreadsheets/d/1XL5vhW3sbDhbH9Cz0tuDiY8C3ctxq1tqvaCgkFb8cCA/edit?usp=sharing"",""บึงกาฬ!M351"")"),0)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IFERROR(__xludf.DUMMYFUNCTION("IMPORTRANGE(""https://docs.google.com/spreadsheets/d/1XL5vhW3sbDhbH9Cz0tuDiY8C3ctxq1tqvaCgkFb8cCA/edit?usp=sharing"",""บึงกาฬ!L352"")"),381845)</f>
        <v>381845</v>
      </c>
      <c r="M457" s="165"/>
      <c r="N457" s="169">
        <f ca="1">IFERROR(__xludf.DUMMYFUNCTION("IMPORTRANGE(""https://docs.google.com/spreadsheets/d/1XL5vhW3sbDhbH9Cz0tuDiY8C3ctxq1tqvaCgkFb8cCA/edit?usp=sharing"",""บึงกาฬ!M352"")"),28886)</f>
        <v>28886</v>
      </c>
      <c r="O457" s="169">
        <f t="shared" ca="1" si="116"/>
        <v>7.56484961175346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IFERROR(__xludf.DUMMYFUNCTION("IMPORTRANGE(""https://docs.google.com/spreadsheets/d/1XL5vhW3sbDhbH9Cz0tuDiY8C3ctxq1tqvaCgkFb8cCA/edit?usp=sharing"",""บึงกาฬ!L353"")"),0)</f>
        <v>0</v>
      </c>
      <c r="M458" s="169"/>
      <c r="N458" s="169">
        <f ca="1">IFERROR(__xludf.DUMMYFUNCTION("IMPORTRANGE(""https://docs.google.com/spreadsheets/d/1XL5vhW3sbDhbH9Cz0tuDiY8C3ctxq1tqvaCgkFb8cCA/edit?usp=sharing"",""บึงกาฬ!M353"")"),0)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IFERROR(__xludf.DUMMYFUNCTION("IMPORTRANGE(""https://docs.google.com/spreadsheets/d/1XL5vhW3sbDhbH9Cz0tuDiY8C3ctxq1tqvaCgkFb8cCA/edit?usp=sharing"",""บึงกาฬ!L354"")"),381845)</f>
        <v>381845</v>
      </c>
      <c r="M459" s="169"/>
      <c r="N459" s="169">
        <f ca="1">IFERROR(__xludf.DUMMYFUNCTION("IMPORTRANGE(""https://docs.google.com/spreadsheets/d/1XL5vhW3sbDhbH9Cz0tuDiY8C3ctxq1tqvaCgkFb8cCA/edit?usp=sharing"",""บึงกาฬ!M354"")"),28886)</f>
        <v>28886</v>
      </c>
      <c r="O459" s="169">
        <f t="shared" ca="1" si="116"/>
        <v>7.56484961175346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IFERROR(__xludf.DUMMYFUNCTION("IMPORTRANGE(""https://docs.google.com/spreadsheets/d/1XL5vhW3sbDhbH9Cz0tuDiY8C3ctxq1tqvaCgkFb8cCA/edit?usp=sharing"",""บึงกาฬ!M355"")"),0)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IFERROR(__xludf.DUMMYFUNCTION("IMPORTRANGE(""https://docs.google.com/spreadsheets/d/1XL5vhW3sbDhbH9Cz0tuDiY8C3ctxq1tqvaCgkFb8cCA/edit?usp=sharing"",""บึงกาฬ!M356"")"),0)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IFERROR(__xludf.DUMMYFUNCTION("IMPORTRANGE(""https://docs.google.com/spreadsheets/d/1XL5vhW3sbDhbH9Cz0tuDiY8C3ctxq1tqvaCgkFb8cCA/edit?usp=sharing"",""บึงกาฬ!M357"")"),0)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IFERROR(__xludf.DUMMYFUNCTION("IMPORTRANGE(""https://docs.google.com/spreadsheets/d/1XL5vhW3sbDhbH9Cz0tuDiY8C3ctxq1tqvaCgkFb8cCA/edit?usp=sharing"",""บึงกาฬ!M358"")"),28886)</f>
        <v>28886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IFERROR(__xludf.DUMMYFUNCTION("IMPORTRANGE(""https://docs.google.com/spreadsheets/d/1XL5vhW3sbDhbH9Cz0tuDiY8C3ctxq1tqvaCgkFb8cCA/edit?usp=sharing"",""บึงกาฬ!I359"")"),38688)</f>
        <v>38688</v>
      </c>
      <c r="J464" s="267">
        <f ca="1">IFERROR(__xludf.DUMMYFUNCTION("IMPORTRANGE(""https://docs.google.com/spreadsheets/d/1XL5vhW3sbDhbH9Cz0tuDiY8C3ctxq1tqvaCgkFb8cCA/edit?usp=sharing"",""บึงกาฬ!J359"")"),38688)</f>
        <v>38688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IFERROR(__xludf.DUMMYFUNCTION("IMPORTRANGE(""https://docs.google.com/spreadsheets/d/1XL5vhW3sbDhbH9Cz0tuDiY8C3ctxq1tqvaCgkFb8cCA/edit?usp=sharing"",""บึงกาฬ!I360"")"),38688)</f>
        <v>38688</v>
      </c>
      <c r="J465" s="420">
        <f ca="1">IFERROR(__xludf.DUMMYFUNCTION("IMPORTRANGE(""https://docs.google.com/spreadsheets/d/1XL5vhW3sbDhbH9Cz0tuDiY8C3ctxq1tqvaCgkFb8cCA/edit?usp=sharing"",""บึงกาฬ!J360"")"),38688)</f>
        <v>38688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IFERROR(__xludf.DUMMYFUNCTION("IMPORTRANGE(""https://docs.google.com/spreadsheets/d/1XL5vhW3sbDhbH9Cz0tuDiY8C3ctxq1tqvaCgkFb8cCA/edit?usp=sharing"",""บึงกาฬ!I361"")"),2619)</f>
        <v>2619</v>
      </c>
      <c r="J466" s="420">
        <f ca="1">IFERROR(__xludf.DUMMYFUNCTION("IMPORTRANGE(""https://docs.google.com/spreadsheets/d/1XL5vhW3sbDhbH9Cz0tuDiY8C3ctxq1tqvaCgkFb8cCA/edit?usp=sharing"",""บึงกาฬ!J361"")"),2619)</f>
        <v>2619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IFERROR(__xludf.DUMMYFUNCTION("IMPORTRANGE(""https://docs.google.com/spreadsheets/d/1XL5vhW3sbDhbH9Cz0tuDiY8C3ctxq1tqvaCgkFb8cCA/edit?usp=sharing"",""บึงกาฬ!I362"")"),0)</f>
        <v>0</v>
      </c>
      <c r="J467" s="189">
        <f ca="1">IFERROR(__xludf.DUMMYFUNCTION("IMPORTRANGE(""https://docs.google.com/spreadsheets/d/1XL5vhW3sbDhbH9Cz0tuDiY8C3ctxq1tqvaCgkFb8cCA/edit?usp=sharing"",""บึงกาฬ!J362"")"),32472)</f>
        <v>32472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IFERROR(__xludf.DUMMYFUNCTION("IMPORTRANGE(""https://docs.google.com/spreadsheets/d/1XL5vhW3sbDhbH9Cz0tuDiY8C3ctxq1tqvaCgkFb8cCA/edit?usp=sharing"",""บึงกาฬ!I363"")"),0)</f>
        <v>0</v>
      </c>
      <c r="J468" s="189">
        <f ca="1">IFERROR(__xludf.DUMMYFUNCTION("IMPORTRANGE(""https://docs.google.com/spreadsheets/d/1XL5vhW3sbDhbH9Cz0tuDiY8C3ctxq1tqvaCgkFb8cCA/edit?usp=sharing"",""บึงกาฬ!J363"")"),2246)</f>
        <v>2246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IFERROR(__xludf.DUMMYFUNCTION("IMPORTRANGE(""https://docs.google.com/spreadsheets/d/1XL5vhW3sbDhbH9Cz0tuDiY8C3ctxq1tqvaCgkFb8cCA/edit?usp=sharing"",""บึงกาฬ!I364"")"),0)</f>
        <v>0</v>
      </c>
      <c r="J469" s="189">
        <f ca="1">IFERROR(__xludf.DUMMYFUNCTION("IMPORTRANGE(""https://docs.google.com/spreadsheets/d/1XL5vhW3sbDhbH9Cz0tuDiY8C3ctxq1tqvaCgkFb8cCA/edit?usp=sharing"",""บึงกาฬ!J364"")"),6043)</f>
        <v>6043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IFERROR(__xludf.DUMMYFUNCTION("IMPORTRANGE(""https://docs.google.com/spreadsheets/d/1XL5vhW3sbDhbH9Cz0tuDiY8C3ctxq1tqvaCgkFb8cCA/edit?usp=sharing"",""บึงกาฬ!I365"")"),0)</f>
        <v>0</v>
      </c>
      <c r="J470" s="189">
        <f ca="1">IFERROR(__xludf.DUMMYFUNCTION("IMPORTRANGE(""https://docs.google.com/spreadsheets/d/1XL5vhW3sbDhbH9Cz0tuDiY8C3ctxq1tqvaCgkFb8cCA/edit?usp=sharing"",""บึงกาฬ!J365"")"),363)</f>
        <v>363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IFERROR(__xludf.DUMMYFUNCTION("IMPORTRANGE(""https://docs.google.com/spreadsheets/d/1XL5vhW3sbDhbH9Cz0tuDiY8C3ctxq1tqvaCgkFb8cCA/edit?usp=sharing"",""บึงกาฬ!I366"")"),0)</f>
        <v>0</v>
      </c>
      <c r="J471" s="189">
        <f ca="1">IFERROR(__xludf.DUMMYFUNCTION("IMPORTRANGE(""https://docs.google.com/spreadsheets/d/1XL5vhW3sbDhbH9Cz0tuDiY8C3ctxq1tqvaCgkFb8cCA/edit?usp=sharing"",""บึงกาฬ!J366"")"),173)</f>
        <v>173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IFERROR(__xludf.DUMMYFUNCTION("IMPORTRANGE(""https://docs.google.com/spreadsheets/d/1XL5vhW3sbDhbH9Cz0tuDiY8C3ctxq1tqvaCgkFb8cCA/edit?usp=sharing"",""บึงกาฬ!I367"")"),0)</f>
        <v>0</v>
      </c>
      <c r="J472" s="189">
        <f ca="1">IFERROR(__xludf.DUMMYFUNCTION("IMPORTRANGE(""https://docs.google.com/spreadsheets/d/1XL5vhW3sbDhbH9Cz0tuDiY8C3ctxq1tqvaCgkFb8cCA/edit?usp=sharing"",""บึงกาฬ!J367"")"),10)</f>
        <v>10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IFERROR(__xludf.DUMMYFUNCTION("IMPORTRANGE(""https://docs.google.com/spreadsheets/d/1XL5vhW3sbDhbH9Cz0tuDiY8C3ctxq1tqvaCgkFb8cCA/edit?usp=sharing"",""บึงกาฬ!I368"")"),38688)</f>
        <v>38688</v>
      </c>
      <c r="J473" s="420">
        <f ca="1">IFERROR(__xludf.DUMMYFUNCTION("IMPORTRANGE(""https://docs.google.com/spreadsheets/d/1XL5vhW3sbDhbH9Cz0tuDiY8C3ctxq1tqvaCgkFb8cCA/edit?usp=sharing"",""บึงกาฬ!J368"")"),38688)</f>
        <v>38688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IFERROR(__xludf.DUMMYFUNCTION("IMPORTRANGE(""https://docs.google.com/spreadsheets/d/1XL5vhW3sbDhbH9Cz0tuDiY8C3ctxq1tqvaCgkFb8cCA/edit?usp=sharing"",""บึงกาฬ!I369"")"),2619)</f>
        <v>2619</v>
      </c>
      <c r="J474" s="420">
        <f ca="1">IFERROR(__xludf.DUMMYFUNCTION("IMPORTRANGE(""https://docs.google.com/spreadsheets/d/1XL5vhW3sbDhbH9Cz0tuDiY8C3ctxq1tqvaCgkFb8cCA/edit?usp=sharing"",""บึงกาฬ!J369"")"),2619)</f>
        <v>2619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IFERROR(__xludf.DUMMYFUNCTION("IMPORTRANGE(""https://docs.google.com/spreadsheets/d/1XL5vhW3sbDhbH9Cz0tuDiY8C3ctxq1tqvaCgkFb8cCA/edit?usp=sharing"",""บึงกาฬ!I370"")"),0)</f>
        <v>0</v>
      </c>
      <c r="J475" s="189">
        <f ca="1">IFERROR(__xludf.DUMMYFUNCTION("IMPORTRANGE(""https://docs.google.com/spreadsheets/d/1XL5vhW3sbDhbH9Cz0tuDiY8C3ctxq1tqvaCgkFb8cCA/edit?usp=sharing"",""บึงกาฬ!J370"")"),35707)</f>
        <v>35707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IFERROR(__xludf.DUMMYFUNCTION("IMPORTRANGE(""https://docs.google.com/spreadsheets/d/1XL5vhW3sbDhbH9Cz0tuDiY8C3ctxq1tqvaCgkFb8cCA/edit?usp=sharing"",""บึงกาฬ!I371"")"),0)</f>
        <v>0</v>
      </c>
      <c r="J476" s="189">
        <f ca="1">IFERROR(__xludf.DUMMYFUNCTION("IMPORTRANGE(""https://docs.google.com/spreadsheets/d/1XL5vhW3sbDhbH9Cz0tuDiY8C3ctxq1tqvaCgkFb8cCA/edit?usp=sharing"",""บึงกาฬ!J371"")"),2433)</f>
        <v>2433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IFERROR(__xludf.DUMMYFUNCTION("IMPORTRANGE(""https://docs.google.com/spreadsheets/d/1XL5vhW3sbDhbH9Cz0tuDiY8C3ctxq1tqvaCgkFb8cCA/edit?usp=sharing"",""บึงกาฬ!I372"")"),0)</f>
        <v>0</v>
      </c>
      <c r="J477" s="189">
        <f ca="1">IFERROR(__xludf.DUMMYFUNCTION("IMPORTRANGE(""https://docs.google.com/spreadsheets/d/1XL5vhW3sbDhbH9Cz0tuDiY8C3ctxq1tqvaCgkFb8cCA/edit?usp=sharing"",""บึงกาฬ!J372"")"),2756)</f>
        <v>2756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IFERROR(__xludf.DUMMYFUNCTION("IMPORTRANGE(""https://docs.google.com/spreadsheets/d/1XL5vhW3sbDhbH9Cz0tuDiY8C3ctxq1tqvaCgkFb8cCA/edit?usp=sharing"",""บึงกาฬ!I373"")"),0)</f>
        <v>0</v>
      </c>
      <c r="J478" s="189">
        <f ca="1">IFERROR(__xludf.DUMMYFUNCTION("IMPORTRANGE(""https://docs.google.com/spreadsheets/d/1XL5vhW3sbDhbH9Cz0tuDiY8C3ctxq1tqvaCgkFb8cCA/edit?usp=sharing"",""บึงกาฬ!J373"")"),171)</f>
        <v>171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IFERROR(__xludf.DUMMYFUNCTION("IMPORTRANGE(""https://docs.google.com/spreadsheets/d/1XL5vhW3sbDhbH9Cz0tuDiY8C3ctxq1tqvaCgkFb8cCA/edit?usp=sharing"",""บึงกาฬ!I374"")"),0)</f>
        <v>0</v>
      </c>
      <c r="J479" s="189">
        <f ca="1">IFERROR(__xludf.DUMMYFUNCTION("IMPORTRANGE(""https://docs.google.com/spreadsheets/d/1XL5vhW3sbDhbH9Cz0tuDiY8C3ctxq1tqvaCgkFb8cCA/edit?usp=sharing"",""บึงกาฬ!J374"")"),225)</f>
        <v>225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IFERROR(__xludf.DUMMYFUNCTION("IMPORTRANGE(""https://docs.google.com/spreadsheets/d/1XL5vhW3sbDhbH9Cz0tuDiY8C3ctxq1tqvaCgkFb8cCA/edit?usp=sharing"",""บึงกาฬ!I375"")"),0)</f>
        <v>0</v>
      </c>
      <c r="J480" s="189">
        <f ca="1">IFERROR(__xludf.DUMMYFUNCTION("IMPORTRANGE(""https://docs.google.com/spreadsheets/d/1XL5vhW3sbDhbH9Cz0tuDiY8C3ctxq1tqvaCgkFb8cCA/edit?usp=sharing"",""บึงกาฬ!J375"")"),15)</f>
        <v>15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IFERROR(__xludf.DUMMYFUNCTION("IMPORTRANGE(""https://docs.google.com/spreadsheets/d/1XL5vhW3sbDhbH9Cz0tuDiY8C3ctxq1tqvaCgkFb8cCA/edit?usp=sharing"",""บึงกาฬ!I376"")"),38688)</f>
        <v>38688</v>
      </c>
      <c r="J481" s="420">
        <f ca="1">IFERROR(__xludf.DUMMYFUNCTION("IMPORTRANGE(""https://docs.google.com/spreadsheets/d/1XL5vhW3sbDhbH9Cz0tuDiY8C3ctxq1tqvaCgkFb8cCA/edit?usp=sharing"",""บึงกาฬ!J376"")"),38688)</f>
        <v>38688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IFERROR(__xludf.DUMMYFUNCTION("IMPORTRANGE(""https://docs.google.com/spreadsheets/d/1XL5vhW3sbDhbH9Cz0tuDiY8C3ctxq1tqvaCgkFb8cCA/edit?usp=sharing"",""บึงกาฬ!I377"")"),2619)</f>
        <v>2619</v>
      </c>
      <c r="J482" s="420">
        <f ca="1">IFERROR(__xludf.DUMMYFUNCTION("IMPORTRANGE(""https://docs.google.com/spreadsheets/d/1XL5vhW3sbDhbH9Cz0tuDiY8C3ctxq1tqvaCgkFb8cCA/edit?usp=sharing"",""บึงกาฬ!J377"")"),2619)</f>
        <v>2619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IFERROR(__xludf.DUMMYFUNCTION("IMPORTRANGE(""https://docs.google.com/spreadsheets/d/1XL5vhW3sbDhbH9Cz0tuDiY8C3ctxq1tqvaCgkFb8cCA/edit?usp=sharing"",""บึงกาฬ!I378"")"),0)</f>
        <v>0</v>
      </c>
      <c r="J483" s="189">
        <f ca="1">IFERROR(__xludf.DUMMYFUNCTION("IMPORTRANGE(""https://docs.google.com/spreadsheets/d/1XL5vhW3sbDhbH9Cz0tuDiY8C3ctxq1tqvaCgkFb8cCA/edit?usp=sharing"",""บึงกาฬ!J378"")"),35707)</f>
        <v>35707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IFERROR(__xludf.DUMMYFUNCTION("IMPORTRANGE(""https://docs.google.com/spreadsheets/d/1XL5vhW3sbDhbH9Cz0tuDiY8C3ctxq1tqvaCgkFb8cCA/edit?usp=sharing"",""บึงกาฬ!I379"")"),0)</f>
        <v>0</v>
      </c>
      <c r="J484" s="189">
        <f ca="1">IFERROR(__xludf.DUMMYFUNCTION("IMPORTRANGE(""https://docs.google.com/spreadsheets/d/1XL5vhW3sbDhbH9Cz0tuDiY8C3ctxq1tqvaCgkFb8cCA/edit?usp=sharing"",""บึงกาฬ!J379"")"),2433)</f>
        <v>2433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IFERROR(__xludf.DUMMYFUNCTION("IMPORTRANGE(""https://docs.google.com/spreadsheets/d/1XL5vhW3sbDhbH9Cz0tuDiY8C3ctxq1tqvaCgkFb8cCA/edit?usp=sharing"",""บึงกาฬ!I380"")"),0)</f>
        <v>0</v>
      </c>
      <c r="J485" s="189">
        <f ca="1">IFERROR(__xludf.DUMMYFUNCTION("IMPORTRANGE(""https://docs.google.com/spreadsheets/d/1XL5vhW3sbDhbH9Cz0tuDiY8C3ctxq1tqvaCgkFb8cCA/edit?usp=sharing"",""บึงกาฬ!J380"")"),2756)</f>
        <v>2756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IFERROR(__xludf.DUMMYFUNCTION("IMPORTRANGE(""https://docs.google.com/spreadsheets/d/1XL5vhW3sbDhbH9Cz0tuDiY8C3ctxq1tqvaCgkFb8cCA/edit?usp=sharing"",""บึงกาฬ!I381"")"),0)</f>
        <v>0</v>
      </c>
      <c r="J486" s="189">
        <f ca="1">IFERROR(__xludf.DUMMYFUNCTION("IMPORTRANGE(""https://docs.google.com/spreadsheets/d/1XL5vhW3sbDhbH9Cz0tuDiY8C3ctxq1tqvaCgkFb8cCA/edit?usp=sharing"",""บึงกาฬ!J381"")"),171)</f>
        <v>171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IFERROR(__xludf.DUMMYFUNCTION("IMPORTRANGE(""https://docs.google.com/spreadsheets/d/1XL5vhW3sbDhbH9Cz0tuDiY8C3ctxq1tqvaCgkFb8cCA/edit?usp=sharing"",""บึงกาฬ!I382"")"),0)</f>
        <v>0</v>
      </c>
      <c r="J487" s="420">
        <f ca="1">IFERROR(__xludf.DUMMYFUNCTION("IMPORTRANGE(""https://docs.google.com/spreadsheets/d/1XL5vhW3sbDhbH9Cz0tuDiY8C3ctxq1tqvaCgkFb8cCA/edit?usp=sharing"",""บึงกาฬ!J382"")"),225)</f>
        <v>225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IFERROR(__xludf.DUMMYFUNCTION("IMPORTRANGE(""https://docs.google.com/spreadsheets/d/1XL5vhW3sbDhbH9Cz0tuDiY8C3ctxq1tqvaCgkFb8cCA/edit?usp=sharing"",""บึงกาฬ!I383"")"),0)</f>
        <v>0</v>
      </c>
      <c r="J488" s="420">
        <f ca="1">IFERROR(__xludf.DUMMYFUNCTION("IMPORTRANGE(""https://docs.google.com/spreadsheets/d/1XL5vhW3sbDhbH9Cz0tuDiY8C3ctxq1tqvaCgkFb8cCA/edit?usp=sharing"",""บึงกาฬ!J383"")"),15)</f>
        <v>15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IFERROR(__xludf.DUMMYFUNCTION("IMPORTRANGE(""https://docs.google.com/spreadsheets/d/1XL5vhW3sbDhbH9Cz0tuDiY8C3ctxq1tqvaCgkFb8cCA/edit?usp=sharing"",""บึงกาฬ!I384"")"),0)</f>
        <v>0</v>
      </c>
      <c r="J489" s="189">
        <f ca="1">IFERROR(__xludf.DUMMYFUNCTION("IMPORTRANGE(""https://docs.google.com/spreadsheets/d/1XL5vhW3sbDhbH9Cz0tuDiY8C3ctxq1tqvaCgkFb8cCA/edit?usp=sharing"",""บึงกาฬ!J384"")"),225)</f>
        <v>225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IFERROR(__xludf.DUMMYFUNCTION("IMPORTRANGE(""https://docs.google.com/spreadsheets/d/1XL5vhW3sbDhbH9Cz0tuDiY8C3ctxq1tqvaCgkFb8cCA/edit?usp=sharing"",""บึงกาฬ!I385"")"),0)</f>
        <v>0</v>
      </c>
      <c r="J490" s="189">
        <f ca="1">IFERROR(__xludf.DUMMYFUNCTION("IMPORTRANGE(""https://docs.google.com/spreadsheets/d/1XL5vhW3sbDhbH9Cz0tuDiY8C3ctxq1tqvaCgkFb8cCA/edit?usp=sharing"",""บึงกาฬ!J385"")"),15)</f>
        <v>15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IFERROR(__xludf.DUMMYFUNCTION("IMPORTRANGE(""https://docs.google.com/spreadsheets/d/1XL5vhW3sbDhbH9Cz0tuDiY8C3ctxq1tqvaCgkFb8cCA/edit?usp=sharing"",""บึงกาฬ!I386"")"),0)</f>
        <v>0</v>
      </c>
      <c r="J491" s="189">
        <f ca="1">IFERROR(__xludf.DUMMYFUNCTION("IMPORTRANGE(""https://docs.google.com/spreadsheets/d/1XL5vhW3sbDhbH9Cz0tuDiY8C3ctxq1tqvaCgkFb8cCA/edit?usp=sharing"",""บึงกาฬ!J386"")"),0)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IFERROR(__xludf.DUMMYFUNCTION("IMPORTRANGE(""https://docs.google.com/spreadsheets/d/1XL5vhW3sbDhbH9Cz0tuDiY8C3ctxq1tqvaCgkFb8cCA/edit?usp=sharing"",""บึงกาฬ!I387"")"),0)</f>
        <v>0</v>
      </c>
      <c r="J492" s="189">
        <f ca="1">IFERROR(__xludf.DUMMYFUNCTION("IMPORTRANGE(""https://docs.google.com/spreadsheets/d/1XL5vhW3sbDhbH9Cz0tuDiY8C3ctxq1tqvaCgkFb8cCA/edit?usp=sharing"",""บึงกาฬ!J387"")"),0)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IFERROR(__xludf.DUMMYFUNCTION("IMPORTRANGE(""https://docs.google.com/spreadsheets/d/1XL5vhW3sbDhbH9Cz0tuDiY8C3ctxq1tqvaCgkFb8cCA/edit?usp=sharing"",""บึงกาฬ!I388"")"),0)</f>
        <v>0</v>
      </c>
      <c r="J493" s="189">
        <f ca="1">IFERROR(__xludf.DUMMYFUNCTION("IMPORTRANGE(""https://docs.google.com/spreadsheets/d/1XL5vhW3sbDhbH9Cz0tuDiY8C3ctxq1tqvaCgkFb8cCA/edit?usp=sharing"",""บึงกาฬ!J388"")"),0)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IFERROR(__xludf.DUMMYFUNCTION("IMPORTRANGE(""https://docs.google.com/spreadsheets/d/1XL5vhW3sbDhbH9Cz0tuDiY8C3ctxq1tqvaCgkFb8cCA/edit?usp=sharing"",""บึงกาฬ!I389"")"),0)</f>
        <v>0</v>
      </c>
      <c r="J494" s="436">
        <f ca="1">IFERROR(__xludf.DUMMYFUNCTION("IMPORTRANGE(""https://docs.google.com/spreadsheets/d/1XL5vhW3sbDhbH9Cz0tuDiY8C3ctxq1tqvaCgkFb8cCA/edit?usp=sharing"",""บึงกาฬ!J389"")"),0)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IFERROR(__xludf.DUMMYFUNCTION("IMPORTRANGE(""https://docs.google.com/spreadsheets/d/1XL5vhW3sbDhbH9Cz0tuDiY8C3ctxq1tqvaCgkFb8cCA/edit?usp=sharing"",""บึงกาฬ!I390"")"),0)</f>
        <v>0</v>
      </c>
      <c r="J495" s="436">
        <f ca="1">IFERROR(__xludf.DUMMYFUNCTION("IMPORTRANGE(""https://docs.google.com/spreadsheets/d/1XL5vhW3sbDhbH9Cz0tuDiY8C3ctxq1tqvaCgkFb8cCA/edit?usp=sharing"",""บึงกาฬ!J390"")"),0)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IFERROR(__xludf.DUMMYFUNCTION("IMPORTRANGE(""https://docs.google.com/spreadsheets/d/1XL5vhW3sbDhbH9Cz0tuDiY8C3ctxq1tqvaCgkFb8cCA/edit?usp=sharing"",""บึงกาฬ!I391"")"),0)</f>
        <v>0</v>
      </c>
      <c r="J496" s="436">
        <f ca="1">IFERROR(__xludf.DUMMYFUNCTION("IMPORTRANGE(""https://docs.google.com/spreadsheets/d/1XL5vhW3sbDhbH9Cz0tuDiY8C3ctxq1tqvaCgkFb8cCA/edit?usp=sharing"",""บึงกาฬ!J391"")"),0)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IFERROR(__xludf.DUMMYFUNCTION("IMPORTRANGE(""https://docs.google.com/spreadsheets/d/1XL5vhW3sbDhbH9Cz0tuDiY8C3ctxq1tqvaCgkFb8cCA/edit?usp=sharing"",""บึงกาฬ!I392"")"),6120)</f>
        <v>6120</v>
      </c>
      <c r="J497" s="443">
        <f ca="1">IFERROR(__xludf.DUMMYFUNCTION("IMPORTRANGE(""https://docs.google.com/spreadsheets/d/1XL5vhW3sbDhbH9Cz0tuDiY8C3ctxq1tqvaCgkFb8cCA/edit?usp=sharing"",""บึงกาฬ!J392"")"),2297)</f>
        <v>2297</v>
      </c>
      <c r="K497" s="444">
        <f t="shared" ca="1" si="117"/>
        <v>37.532679738562095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IFERROR(__xludf.DUMMYFUNCTION("IMPORTRANGE(""https://docs.google.com/spreadsheets/d/1XL5vhW3sbDhbH9Cz0tuDiY8C3ctxq1tqvaCgkFb8cCA/edit?usp=sharing"",""บึงกาฬ!I393"")"),6120)</f>
        <v>6120</v>
      </c>
      <c r="J498" s="420">
        <f ca="1">IFERROR(__xludf.DUMMYFUNCTION("IMPORTRANGE(""https://docs.google.com/spreadsheets/d/1XL5vhW3sbDhbH9Cz0tuDiY8C3ctxq1tqvaCgkFb8cCA/edit?usp=sharing"",""บึงกาฬ!J393"")"),2297)</f>
        <v>2297</v>
      </c>
      <c r="K498" s="202">
        <f t="shared" ca="1" si="117"/>
        <v>37.532679738562095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IFERROR(__xludf.DUMMYFUNCTION("IMPORTRANGE(""https://docs.google.com/spreadsheets/d/1XL5vhW3sbDhbH9Cz0tuDiY8C3ctxq1tqvaCgkFb8cCA/edit?usp=sharing"",""บึงกาฬ!I394"")"),422)</f>
        <v>422</v>
      </c>
      <c r="J499" s="420">
        <f ca="1">IFERROR(__xludf.DUMMYFUNCTION("IMPORTRANGE(""https://docs.google.com/spreadsheets/d/1XL5vhW3sbDhbH9Cz0tuDiY8C3ctxq1tqvaCgkFb8cCA/edit?usp=sharing"",""บึงกาฬ!J394"")"),166)</f>
        <v>166</v>
      </c>
      <c r="K499" s="202">
        <f t="shared" ca="1" si="117"/>
        <v>39.33649289099526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IFERROR(__xludf.DUMMYFUNCTION("IMPORTRANGE(""https://docs.google.com/spreadsheets/d/1XL5vhW3sbDhbH9Cz0tuDiY8C3ctxq1tqvaCgkFb8cCA/edit?usp=sharing"",""บึงกาฬ!I395"")"),0)</f>
        <v>0</v>
      </c>
      <c r="J500" s="162">
        <f ca="1">IFERROR(__xludf.DUMMYFUNCTION("IMPORTRANGE(""https://docs.google.com/spreadsheets/d/1XL5vhW3sbDhbH9Cz0tuDiY8C3ctxq1tqvaCgkFb8cCA/edit?usp=sharing"",""บึงกาฬ!J395"")"),2296)</f>
        <v>2296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IFERROR(__xludf.DUMMYFUNCTION("IMPORTRANGE(""https://docs.google.com/spreadsheets/d/1XL5vhW3sbDhbH9Cz0tuDiY8C3ctxq1tqvaCgkFb8cCA/edit?usp=sharing"",""บึงกาฬ!I396"")"),0)</f>
        <v>0</v>
      </c>
      <c r="J501" s="162">
        <f ca="1">IFERROR(__xludf.DUMMYFUNCTION("IMPORTRANGE(""https://docs.google.com/spreadsheets/d/1XL5vhW3sbDhbH9Cz0tuDiY8C3ctxq1tqvaCgkFb8cCA/edit?usp=sharing"",""บึงกาฬ!J396"")"),165)</f>
        <v>165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IFERROR(__xludf.DUMMYFUNCTION("IMPORTRANGE(""https://docs.google.com/spreadsheets/d/1XL5vhW3sbDhbH9Cz0tuDiY8C3ctxq1tqvaCgkFb8cCA/edit?usp=sharing"",""บึงกาฬ!I397"")"),0)</f>
        <v>0</v>
      </c>
      <c r="J502" s="189">
        <f ca="1">IFERROR(__xludf.DUMMYFUNCTION("IMPORTRANGE(""https://docs.google.com/spreadsheets/d/1XL5vhW3sbDhbH9Cz0tuDiY8C3ctxq1tqvaCgkFb8cCA/edit?usp=sharing"",""บึงกาฬ!J397"")"),2296)</f>
        <v>2296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IFERROR(__xludf.DUMMYFUNCTION("IMPORTRANGE(""https://docs.google.com/spreadsheets/d/1XL5vhW3sbDhbH9Cz0tuDiY8C3ctxq1tqvaCgkFb8cCA/edit?usp=sharing"",""บึงกาฬ!I398"")"),0)</f>
        <v>0</v>
      </c>
      <c r="J503" s="198">
        <f ca="1">IFERROR(__xludf.DUMMYFUNCTION("IMPORTRANGE(""https://docs.google.com/spreadsheets/d/1XL5vhW3sbDhbH9Cz0tuDiY8C3ctxq1tqvaCgkFb8cCA/edit?usp=sharing"",""บึงกาฬ!J398"")"),165)</f>
        <v>165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IFERROR(__xludf.DUMMYFUNCTION("IMPORTRANGE(""https://docs.google.com/spreadsheets/d/1XL5vhW3sbDhbH9Cz0tuDiY8C3ctxq1tqvaCgkFb8cCA/edit?usp=sharing"",""บึงกาฬ!I399"")"),0)</f>
        <v>0</v>
      </c>
      <c r="J504" s="189">
        <f ca="1">IFERROR(__xludf.DUMMYFUNCTION("IMPORTRANGE(""https://docs.google.com/spreadsheets/d/1XL5vhW3sbDhbH9Cz0tuDiY8C3ctxq1tqvaCgkFb8cCA/edit?usp=sharing"",""บึงกาฬ!J399"")"),0)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IFERROR(__xludf.DUMMYFUNCTION("IMPORTRANGE(""https://docs.google.com/spreadsheets/d/1XL5vhW3sbDhbH9Cz0tuDiY8C3ctxq1tqvaCgkFb8cCA/edit?usp=sharing"",""บึงกาฬ!I400"")"),0)</f>
        <v>0</v>
      </c>
      <c r="J505" s="198">
        <f ca="1">IFERROR(__xludf.DUMMYFUNCTION("IMPORTRANGE(""https://docs.google.com/spreadsheets/d/1XL5vhW3sbDhbH9Cz0tuDiY8C3ctxq1tqvaCgkFb8cCA/edit?usp=sharing"",""บึงกาฬ!J400"")"),0)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IFERROR(__xludf.DUMMYFUNCTION("IMPORTRANGE(""https://docs.google.com/spreadsheets/d/1XL5vhW3sbDhbH9Cz0tuDiY8C3ctxq1tqvaCgkFb8cCA/edit?usp=sharing"",""บึงกาฬ!I401"")"),0)</f>
        <v>0</v>
      </c>
      <c r="J506" s="189">
        <f ca="1">IFERROR(__xludf.DUMMYFUNCTION("IMPORTRANGE(""https://docs.google.com/spreadsheets/d/1XL5vhW3sbDhbH9Cz0tuDiY8C3ctxq1tqvaCgkFb8cCA/edit?usp=sharing"",""บึงกาฬ!J401"")"),0)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IFERROR(__xludf.DUMMYFUNCTION("IMPORTRANGE(""https://docs.google.com/spreadsheets/d/1XL5vhW3sbDhbH9Cz0tuDiY8C3ctxq1tqvaCgkFb8cCA/edit?usp=sharing"",""บึงกาฬ!I402"")"),0)</f>
        <v>0</v>
      </c>
      <c r="J507" s="198">
        <f ca="1">IFERROR(__xludf.DUMMYFUNCTION("IMPORTRANGE(""https://docs.google.com/spreadsheets/d/1XL5vhW3sbDhbH9Cz0tuDiY8C3ctxq1tqvaCgkFb8cCA/edit?usp=sharing"",""บึงกาฬ!J402"")"),0)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IFERROR(__xludf.DUMMYFUNCTION("IMPORTRANGE(""https://docs.google.com/spreadsheets/d/1XL5vhW3sbDhbH9Cz0tuDiY8C3ctxq1tqvaCgkFb8cCA/edit?usp=sharing"",""บึงกาฬ!I403"")"),0)</f>
        <v>0</v>
      </c>
      <c r="J508" s="162">
        <f ca="1">IFERROR(__xludf.DUMMYFUNCTION("IMPORTRANGE(""https://docs.google.com/spreadsheets/d/1XL5vhW3sbDhbH9Cz0tuDiY8C3ctxq1tqvaCgkFb8cCA/edit?usp=sharing"",""บึงกาฬ!J403"")"),1)</f>
        <v>1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IFERROR(__xludf.DUMMYFUNCTION("IMPORTRANGE(""https://docs.google.com/spreadsheets/d/1XL5vhW3sbDhbH9Cz0tuDiY8C3ctxq1tqvaCgkFb8cCA/edit?usp=sharing"",""บึงกาฬ!I404"")"),0)</f>
        <v>0</v>
      </c>
      <c r="J509" s="162">
        <f ca="1">IFERROR(__xludf.DUMMYFUNCTION("IMPORTRANGE(""https://docs.google.com/spreadsheets/d/1XL5vhW3sbDhbH9Cz0tuDiY8C3ctxq1tqvaCgkFb8cCA/edit?usp=sharing"",""บึงกาฬ!J404"")"),1)</f>
        <v>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IFERROR(__xludf.DUMMYFUNCTION("IMPORTRANGE(""https://docs.google.com/spreadsheets/d/1XL5vhW3sbDhbH9Cz0tuDiY8C3ctxq1tqvaCgkFb8cCA/edit?usp=sharing"",""บึงกาฬ!I405"")"),0)</f>
        <v>0</v>
      </c>
      <c r="J510" s="198">
        <f ca="1">IFERROR(__xludf.DUMMYFUNCTION("IMPORTRANGE(""https://docs.google.com/spreadsheets/d/1XL5vhW3sbDhbH9Cz0tuDiY8C3ctxq1tqvaCgkFb8cCA/edit?usp=sharing"",""บึงกาฬ!J405"")"),1)</f>
        <v>1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IFERROR(__xludf.DUMMYFUNCTION("IMPORTRANGE(""https://docs.google.com/spreadsheets/d/1XL5vhW3sbDhbH9Cz0tuDiY8C3ctxq1tqvaCgkFb8cCA/edit?usp=sharing"",""บึงกาฬ!I406"")"),0)</f>
        <v>0</v>
      </c>
      <c r="J511" s="198">
        <f ca="1">IFERROR(__xludf.DUMMYFUNCTION("IMPORTRANGE(""https://docs.google.com/spreadsheets/d/1XL5vhW3sbDhbH9Cz0tuDiY8C3ctxq1tqvaCgkFb8cCA/edit?usp=sharing"",""บึงกาฬ!J406"")"),1)</f>
        <v>1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IFERROR(__xludf.DUMMYFUNCTION("IMPORTRANGE(""https://docs.google.com/spreadsheets/d/1XL5vhW3sbDhbH9Cz0tuDiY8C3ctxq1tqvaCgkFb8cCA/edit?usp=sharing"",""บึงกาฬ!I407"")"),0)</f>
        <v>0</v>
      </c>
      <c r="J512" s="198">
        <f ca="1">IFERROR(__xludf.DUMMYFUNCTION("IMPORTRANGE(""https://docs.google.com/spreadsheets/d/1XL5vhW3sbDhbH9Cz0tuDiY8C3ctxq1tqvaCgkFb8cCA/edit?usp=sharing"",""บึงกาฬ!J407"")"),0)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IFERROR(__xludf.DUMMYFUNCTION("IMPORTRANGE(""https://docs.google.com/spreadsheets/d/1XL5vhW3sbDhbH9Cz0tuDiY8C3ctxq1tqvaCgkFb8cCA/edit?usp=sharing"",""บึงกาฬ!I408"")"),0)</f>
        <v>0</v>
      </c>
      <c r="J513" s="198">
        <f ca="1">IFERROR(__xludf.DUMMYFUNCTION("IMPORTRANGE(""https://docs.google.com/spreadsheets/d/1XL5vhW3sbDhbH9Cz0tuDiY8C3ctxq1tqvaCgkFb8cCA/edit?usp=sharing"",""บึงกาฬ!J408"")"),0)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IFERROR(__xludf.DUMMYFUNCTION("IMPORTRANGE(""https://docs.google.com/spreadsheets/d/1XL5vhW3sbDhbH9Cz0tuDiY8C3ctxq1tqvaCgkFb8cCA/edit?usp=sharing"",""บึงกาฬ!I409"")"),0)</f>
        <v>0</v>
      </c>
      <c r="J514" s="198">
        <f ca="1">IFERROR(__xludf.DUMMYFUNCTION("IMPORTRANGE(""https://docs.google.com/spreadsheets/d/1XL5vhW3sbDhbH9Cz0tuDiY8C3ctxq1tqvaCgkFb8cCA/edit?usp=sharing"",""บึงกาฬ!J409"")"),0)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IFERROR(__xludf.DUMMYFUNCTION("IMPORTRANGE(""https://docs.google.com/spreadsheets/d/1XL5vhW3sbDhbH9Cz0tuDiY8C3ctxq1tqvaCgkFb8cCA/edit?usp=sharing"",""บึงกาฬ!I410"")"),0)</f>
        <v>0</v>
      </c>
      <c r="J515" s="198">
        <f ca="1">IFERROR(__xludf.DUMMYFUNCTION("IMPORTRANGE(""https://docs.google.com/spreadsheets/d/1XL5vhW3sbDhbH9Cz0tuDiY8C3ctxq1tqvaCgkFb8cCA/edit?usp=sharing"",""บึงกาฬ!J410"")"),0)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IFERROR(__xludf.DUMMYFUNCTION("IMPORTRANGE(""https://docs.google.com/spreadsheets/d/1XL5vhW3sbDhbH9Cz0tuDiY8C3ctxq1tqvaCgkFb8cCA/edit?usp=sharing"",""บึงกาฬ!I411"")"),0)</f>
        <v>0</v>
      </c>
      <c r="J516" s="267">
        <f ca="1">IFERROR(__xludf.DUMMYFUNCTION("IMPORTRANGE(""https://docs.google.com/spreadsheets/d/1XL5vhW3sbDhbH9Cz0tuDiY8C3ctxq1tqvaCgkFb8cCA/edit?usp=sharing"",""บึงกาฬ!J411"")"),0)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IFERROR(__xludf.DUMMYFUNCTION("IMPORTRANGE(""https://docs.google.com/spreadsheets/d/1XL5vhW3sbDhbH9Cz0tuDiY8C3ctxq1tqvaCgkFb8cCA/edit?usp=sharing"",""บึงกาฬ!I412"")"),0)</f>
        <v>0</v>
      </c>
      <c r="J517" s="284">
        <f ca="1">IFERROR(__xludf.DUMMYFUNCTION("IMPORTRANGE(""https://docs.google.com/spreadsheets/d/1XL5vhW3sbDhbH9Cz0tuDiY8C3ctxq1tqvaCgkFb8cCA/edit?usp=sharing"",""บึงกาฬ!J412"")"),0)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IFERROR(__xludf.DUMMYFUNCTION("IMPORTRANGE(""https://docs.google.com/spreadsheets/d/1XL5vhW3sbDhbH9Cz0tuDiY8C3ctxq1tqvaCgkFb8cCA/edit?usp=sharing"",""บึงกาฬ!I413"")"),0)</f>
        <v>0</v>
      </c>
      <c r="J518" s="284">
        <f ca="1">IFERROR(__xludf.DUMMYFUNCTION("IMPORTRANGE(""https://docs.google.com/spreadsheets/d/1XL5vhW3sbDhbH9Cz0tuDiY8C3ctxq1tqvaCgkFb8cCA/edit?usp=sharing"",""บึงกาฬ!J413"")"),0)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IFERROR(__xludf.DUMMYFUNCTION("IMPORTRANGE(""https://docs.google.com/spreadsheets/d/1XL5vhW3sbDhbH9Cz0tuDiY8C3ctxq1tqvaCgkFb8cCA/edit?usp=sharing"",""บึงกาฬ!I414"")"),0)</f>
        <v>0</v>
      </c>
      <c r="J519" s="188">
        <f ca="1">IFERROR(__xludf.DUMMYFUNCTION("IMPORTRANGE(""https://docs.google.com/spreadsheets/d/1XL5vhW3sbDhbH9Cz0tuDiY8C3ctxq1tqvaCgkFb8cCA/edit?usp=sharing"",""บึงกาฬ!J414"")"),0)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IFERROR(__xludf.DUMMYFUNCTION("IMPORTRANGE(""https://docs.google.com/spreadsheets/d/1XL5vhW3sbDhbH9Cz0tuDiY8C3ctxq1tqvaCgkFb8cCA/edit?usp=sharing"",""บึงกาฬ!I415"")"),0)</f>
        <v>0</v>
      </c>
      <c r="J520" s="188">
        <f ca="1">IFERROR(__xludf.DUMMYFUNCTION("IMPORTRANGE(""https://docs.google.com/spreadsheets/d/1XL5vhW3sbDhbH9Cz0tuDiY8C3ctxq1tqvaCgkFb8cCA/edit?usp=sharing"",""บึงกาฬ!J415"")"),0)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IFERROR(__xludf.DUMMYFUNCTION("IMPORTRANGE(""https://docs.google.com/spreadsheets/d/1XL5vhW3sbDhbH9Cz0tuDiY8C3ctxq1tqvaCgkFb8cCA/edit?usp=sharing"",""บึงกาฬ!I416"")"),0)</f>
        <v>0</v>
      </c>
      <c r="J521" s="188">
        <f ca="1">IFERROR(__xludf.DUMMYFUNCTION("IMPORTRANGE(""https://docs.google.com/spreadsheets/d/1XL5vhW3sbDhbH9Cz0tuDiY8C3ctxq1tqvaCgkFb8cCA/edit?usp=sharing"",""บึงกาฬ!J416"")"),0)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IFERROR(__xludf.DUMMYFUNCTION("IMPORTRANGE(""https://docs.google.com/spreadsheets/d/1XL5vhW3sbDhbH9Cz0tuDiY8C3ctxq1tqvaCgkFb8cCA/edit?usp=sharing"",""บึงกาฬ!I417"")"),0)</f>
        <v>0</v>
      </c>
      <c r="J522" s="188">
        <f ca="1">IFERROR(__xludf.DUMMYFUNCTION("IMPORTRANGE(""https://docs.google.com/spreadsheets/d/1XL5vhW3sbDhbH9Cz0tuDiY8C3ctxq1tqvaCgkFb8cCA/edit?usp=sharing"",""บึงกาฬ!J417"")"),0)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IFERROR(__xludf.DUMMYFUNCTION("IMPORTRANGE(""https://docs.google.com/spreadsheets/d/1XL5vhW3sbDhbH9Cz0tuDiY8C3ctxq1tqvaCgkFb8cCA/edit?usp=sharing"",""บึงกาฬ!I418"")"),0)</f>
        <v>0</v>
      </c>
      <c r="J523" s="188">
        <f ca="1">IFERROR(__xludf.DUMMYFUNCTION("IMPORTRANGE(""https://docs.google.com/spreadsheets/d/1XL5vhW3sbDhbH9Cz0tuDiY8C3ctxq1tqvaCgkFb8cCA/edit?usp=sharing"",""บึงกาฬ!J418"")"),625)</f>
        <v>625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IFERROR(__xludf.DUMMYFUNCTION("IMPORTRANGE(""https://docs.google.com/spreadsheets/d/1XL5vhW3sbDhbH9Cz0tuDiY8C3ctxq1tqvaCgkFb8cCA/edit?usp=sharing"",""บึงกาฬ!I419"")"),0)</f>
        <v>0</v>
      </c>
      <c r="J524" s="188">
        <f ca="1">IFERROR(__xludf.DUMMYFUNCTION("IMPORTRANGE(""https://docs.google.com/spreadsheets/d/1XL5vhW3sbDhbH9Cz0tuDiY8C3ctxq1tqvaCgkFb8cCA/edit?usp=sharing"",""บึงกาฬ!J419"")"),20)</f>
        <v>20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IFERROR(__xludf.DUMMYFUNCTION("IMPORTRANGE(""https://docs.google.com/spreadsheets/d/1XL5vhW3sbDhbH9Cz0tuDiY8C3ctxq1tqvaCgkFb8cCA/edit?usp=sharing"",""บึงกาฬ!I420"")"),625)</f>
        <v>625</v>
      </c>
      <c r="J525" s="284">
        <f ca="1">IFERROR(__xludf.DUMMYFUNCTION("IMPORTRANGE(""https://docs.google.com/spreadsheets/d/1XL5vhW3sbDhbH9Cz0tuDiY8C3ctxq1tqvaCgkFb8cCA/edit?usp=sharing"",""บึงกาฬ!J420"")"),0)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IFERROR(__xludf.DUMMYFUNCTION("IMPORTRANGE(""https://docs.google.com/spreadsheets/d/1XL5vhW3sbDhbH9Cz0tuDiY8C3ctxq1tqvaCgkFb8cCA/edit?usp=sharing"",""บึงกาฬ!I421"")"),20)</f>
        <v>20</v>
      </c>
      <c r="J526" s="284">
        <f ca="1">IFERROR(__xludf.DUMMYFUNCTION("IMPORTRANGE(""https://docs.google.com/spreadsheets/d/1XL5vhW3sbDhbH9Cz0tuDiY8C3ctxq1tqvaCgkFb8cCA/edit?usp=sharing"",""บึงกาฬ!J421"")"),0)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IFERROR(__xludf.DUMMYFUNCTION("IMPORTRANGE(""https://docs.google.com/spreadsheets/d/1XL5vhW3sbDhbH9Cz0tuDiY8C3ctxq1tqvaCgkFb8cCA/edit?usp=sharing"",""บึงกาฬ!I422"")"),0)</f>
        <v>0</v>
      </c>
      <c r="J527" s="198">
        <f ca="1">IFERROR(__xludf.DUMMYFUNCTION("IMPORTRANGE(""https://docs.google.com/spreadsheets/d/1XL5vhW3sbDhbH9Cz0tuDiY8C3ctxq1tqvaCgkFb8cCA/edit?usp=sharing"",""บึงกาฬ!J422"")"),0)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IFERROR(__xludf.DUMMYFUNCTION("IMPORTRANGE(""https://docs.google.com/spreadsheets/d/1XL5vhW3sbDhbH9Cz0tuDiY8C3ctxq1tqvaCgkFb8cCA/edit?usp=sharing"",""บึงกาฬ!I423"")"),0)</f>
        <v>0</v>
      </c>
      <c r="J528" s="198">
        <f ca="1">IFERROR(__xludf.DUMMYFUNCTION("IMPORTRANGE(""https://docs.google.com/spreadsheets/d/1XL5vhW3sbDhbH9Cz0tuDiY8C3ctxq1tqvaCgkFb8cCA/edit?usp=sharing"",""บึงกาฬ!J423"")"),0)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IFERROR(__xludf.DUMMYFUNCTION("IMPORTRANGE(""https://docs.google.com/spreadsheets/d/1XL5vhW3sbDhbH9Cz0tuDiY8C3ctxq1tqvaCgkFb8cCA/edit?usp=sharing"",""บึงกาฬ!I424"")"),0)</f>
        <v>0</v>
      </c>
      <c r="J529" s="198">
        <f ca="1">IFERROR(__xludf.DUMMYFUNCTION("IMPORTRANGE(""https://docs.google.com/spreadsheets/d/1XL5vhW3sbDhbH9Cz0tuDiY8C3ctxq1tqvaCgkFb8cCA/edit?usp=sharing"",""บึงกาฬ!J424"")"),0)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IFERROR(__xludf.DUMMYFUNCTION("IMPORTRANGE(""https://docs.google.com/spreadsheets/d/1XL5vhW3sbDhbH9Cz0tuDiY8C3ctxq1tqvaCgkFb8cCA/edit?usp=sharing"",""บึงกาฬ!I425"")"),0)</f>
        <v>0</v>
      </c>
      <c r="J530" s="198">
        <f ca="1">IFERROR(__xludf.DUMMYFUNCTION("IMPORTRANGE(""https://docs.google.com/spreadsheets/d/1XL5vhW3sbDhbH9Cz0tuDiY8C3ctxq1tqvaCgkFb8cCA/edit?usp=sharing"",""บึงกาฬ!J425"")"),0)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IFERROR(__xludf.DUMMYFUNCTION("IMPORTRANGE(""https://docs.google.com/spreadsheets/d/1XL5vhW3sbDhbH9Cz0tuDiY8C3ctxq1tqvaCgkFb8cCA/edit?usp=sharing"",""บึงกาฬ!I426"")"),0)</f>
        <v>0</v>
      </c>
      <c r="J531" s="198">
        <f ca="1">IFERROR(__xludf.DUMMYFUNCTION("IMPORTRANGE(""https://docs.google.com/spreadsheets/d/1XL5vhW3sbDhbH9Cz0tuDiY8C3ctxq1tqvaCgkFb8cCA/edit?usp=sharing"",""บึงกาฬ!J426"")"),0)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IFERROR(__xludf.DUMMYFUNCTION("IMPORTRANGE(""https://docs.google.com/spreadsheets/d/1XL5vhW3sbDhbH9Cz0tuDiY8C3ctxq1tqvaCgkFb8cCA/edit?usp=sharing"",""บึงกาฬ!I427"")"),0)</f>
        <v>0</v>
      </c>
      <c r="J532" s="466">
        <f ca="1">IFERROR(__xludf.DUMMYFUNCTION("IMPORTRANGE(""https://docs.google.com/spreadsheets/d/1XL5vhW3sbDhbH9Cz0tuDiY8C3ctxq1tqvaCgkFb8cCA/edit?usp=sharing"",""บึงกาฬ!J427"")"),0)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IFERROR(__xludf.DUMMYFUNCTION("IMPORTRANGE(""https://docs.google.com/spreadsheets/d/1XL5vhW3sbDhbH9Cz0tuDiY8C3ctxq1tqvaCgkFb8cCA/edit?usp=sharing"",""บึงกาฬ!I428"")"),30)</f>
        <v>30</v>
      </c>
      <c r="J533" s="410">
        <f ca="1">IFERROR(__xludf.DUMMYFUNCTION("IMPORTRANGE(""https://docs.google.com/spreadsheets/d/1XL5vhW3sbDhbH9Cz0tuDiY8C3ctxq1tqvaCgkFb8cCA/edit?usp=sharing"",""บึงกาฬ!J428"")"),30)</f>
        <v>30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IFERROR(__xludf.DUMMYFUNCTION("IMPORTRANGE(""https://docs.google.com/spreadsheets/d/1XL5vhW3sbDhbH9Cz0tuDiY8C3ctxq1tqvaCgkFb8cCA/edit?usp=sharing"",""บึงกาฬ!L428"")"),41140)</f>
        <v>41140</v>
      </c>
      <c r="M533" s="412"/>
      <c r="N533" s="412">
        <f ca="1">IFERROR(__xludf.DUMMYFUNCTION("IMPORTRANGE(""https://docs.google.com/spreadsheets/d/1XL5vhW3sbDhbH9Cz0tuDiY8C3ctxq1tqvaCgkFb8cCA/edit?usp=sharing"",""บึงกาฬ!M428"")"),34512)</f>
        <v>34512</v>
      </c>
      <c r="O533" s="412">
        <f t="shared" ref="O533:O537" ca="1" si="118">+IF(L533&gt;0,N533*100/L533,0)</f>
        <v>83.889158969372872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IFERROR(__xludf.DUMMYFUNCTION("IMPORTRANGE(""https://docs.google.com/spreadsheets/d/1XL5vhW3sbDhbH9Cz0tuDiY8C3ctxq1tqvaCgkFb8cCA/edit?usp=sharing"",""บึงกาฬ!L429"")"),0)</f>
        <v>0</v>
      </c>
      <c r="M534" s="164"/>
      <c r="N534" s="169">
        <f ca="1">IFERROR(__xludf.DUMMYFUNCTION("IMPORTRANGE(""https://docs.google.com/spreadsheets/d/1XL5vhW3sbDhbH9Cz0tuDiY8C3ctxq1tqvaCgkFb8cCA/edit?usp=sharing"",""บึงกาฬ!M429"")"),0)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IFERROR(__xludf.DUMMYFUNCTION("IMPORTRANGE(""https://docs.google.com/spreadsheets/d/1XL5vhW3sbDhbH9Cz0tuDiY8C3ctxq1tqvaCgkFb8cCA/edit?usp=sharing"",""บึงกาฬ!L430"")"),41140)</f>
        <v>41140</v>
      </c>
      <c r="M535" s="165"/>
      <c r="N535" s="169">
        <f ca="1">IFERROR(__xludf.DUMMYFUNCTION("IMPORTRANGE(""https://docs.google.com/spreadsheets/d/1XL5vhW3sbDhbH9Cz0tuDiY8C3ctxq1tqvaCgkFb8cCA/edit?usp=sharing"",""บึงกาฬ!M430"")"),34512)</f>
        <v>34512</v>
      </c>
      <c r="O535" s="169">
        <f t="shared" ca="1" si="118"/>
        <v>83.889158969372872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IFERROR(__xludf.DUMMYFUNCTION("IMPORTRANGE(""https://docs.google.com/spreadsheets/d/1XL5vhW3sbDhbH9Cz0tuDiY8C3ctxq1tqvaCgkFb8cCA/edit?usp=sharing"",""บึงกาฬ!L431"")"),0)</f>
        <v>0</v>
      </c>
      <c r="M536" s="169"/>
      <c r="N536" s="169">
        <f ca="1">IFERROR(__xludf.DUMMYFUNCTION("IMPORTRANGE(""https://docs.google.com/spreadsheets/d/1XL5vhW3sbDhbH9Cz0tuDiY8C3ctxq1tqvaCgkFb8cCA/edit?usp=sharing"",""บึงกาฬ!M431"")"),0)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IFERROR(__xludf.DUMMYFUNCTION("IMPORTRANGE(""https://docs.google.com/spreadsheets/d/1XL5vhW3sbDhbH9Cz0tuDiY8C3ctxq1tqvaCgkFb8cCA/edit?usp=sharing"",""บึงกาฬ!L432"")"),41140)</f>
        <v>41140</v>
      </c>
      <c r="M537" s="169"/>
      <c r="N537" s="169">
        <f ca="1">IFERROR(__xludf.DUMMYFUNCTION("IMPORTRANGE(""https://docs.google.com/spreadsheets/d/1XL5vhW3sbDhbH9Cz0tuDiY8C3ctxq1tqvaCgkFb8cCA/edit?usp=sharing"",""บึงกาฬ!M432"")"),34512)</f>
        <v>34512</v>
      </c>
      <c r="O537" s="169">
        <f t="shared" ca="1" si="118"/>
        <v>83.889158969372872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IFERROR(__xludf.DUMMYFUNCTION("IMPORTRANGE(""https://docs.google.com/spreadsheets/d/1XL5vhW3sbDhbH9Cz0tuDiY8C3ctxq1tqvaCgkFb8cCA/edit?usp=sharing"",""บึงกาฬ!M433"")"),25540)</f>
        <v>25540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IFERROR(__xludf.DUMMYFUNCTION("IMPORTRANGE(""https://docs.google.com/spreadsheets/d/1XL5vhW3sbDhbH9Cz0tuDiY8C3ctxq1tqvaCgkFb8cCA/edit?usp=sharing"",""บึงกาฬ!M434"")"),0)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IFERROR(__xludf.DUMMYFUNCTION("IMPORTRANGE(""https://docs.google.com/spreadsheets/d/1XL5vhW3sbDhbH9Cz0tuDiY8C3ctxq1tqvaCgkFb8cCA/edit?usp=sharing"",""บึงกาฬ!M435"")"),0)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IFERROR(__xludf.DUMMYFUNCTION("IMPORTRANGE(""https://docs.google.com/spreadsheets/d/1XL5vhW3sbDhbH9Cz0tuDiY8C3ctxq1tqvaCgkFb8cCA/edit?usp=sharing"",""บึงกาฬ!M436"")"),8972)</f>
        <v>8972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IFERROR(__xludf.DUMMYFUNCTION("IMPORTRANGE(""https://docs.google.com/spreadsheets/d/1XL5vhW3sbDhbH9Cz0tuDiY8C3ctxq1tqvaCgkFb8cCA/edit?usp=sharing"",""บึงกาฬ!J438"")"),0)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IFERROR(__xludf.DUMMYFUNCTION("IMPORTRANGE(""https://docs.google.com/spreadsheets/d/1XL5vhW3sbDhbH9Cz0tuDiY8C3ctxq1tqvaCgkFb8cCA/edit?usp=sharing"",""บึงกาฬ!J439"")"),1)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IFERROR(__xludf.DUMMYFUNCTION("IMPORTRANGE(""https://docs.google.com/spreadsheets/d/1XL5vhW3sbDhbH9Cz0tuDiY8C3ctxq1tqvaCgkFb8cCA/edit?usp=sharing"",""บึงกาฬ!J440"")"),1)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IFERROR(__xludf.DUMMYFUNCTION("IMPORTRANGE(""https://docs.google.com/spreadsheets/d/1XL5vhW3sbDhbH9Cz0tuDiY8C3ctxq1tqvaCgkFb8cCA/edit?usp=sharing"",""บึงกาฬ!J441"")"),1)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IFERROR(__xludf.DUMMYFUNCTION("IMPORTRANGE(""https://docs.google.com/spreadsheets/d/1XL5vhW3sbDhbH9Cz0tuDiY8C3ctxq1tqvaCgkFb8cCA/edit?usp=sharing"",""บึงกาฬ!I442"")"),30)</f>
        <v>30</v>
      </c>
      <c r="J547" s="189">
        <f ca="1">IFERROR(__xludf.DUMMYFUNCTION("IMPORTRANGE(""https://docs.google.com/spreadsheets/d/1XL5vhW3sbDhbH9Cz0tuDiY8C3ctxq1tqvaCgkFb8cCA/edit?usp=sharing"",""บึงกาฬ!J442"")"),30)</f>
        <v>30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IFERROR(__xludf.DUMMYFUNCTION("IMPORTRANGE(""https://docs.google.com/spreadsheets/d/1XL5vhW3sbDhbH9Cz0tuDiY8C3ctxq1tqvaCgkFb8cCA/edit?usp=sharing"",""บึงกาฬ!J166"")"),0)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IFERROR(__xludf.DUMMYFUNCTION("IMPORTRANGE(""https://docs.google.com/spreadsheets/d/1XL5vhW3sbDhbH9Cz0tuDiY8C3ctxq1tqvaCgkFb8cCA/edit?usp=sharing"",""บึงกาฬ!J444"")"),0)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IFERROR(__xludf.DUMMYFUNCTION("IMPORTRANGE(""https://docs.google.com/spreadsheets/d/1XL5vhW3sbDhbH9Cz0tuDiY8C3ctxq1tqvaCgkFb8cCA/edit?usp=sharing"",""บึงกาฬ!J445"")"),0)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IFERROR(__xludf.DUMMYFUNCTION("IMPORTRANGE(""https://docs.google.com/spreadsheets/d/1XL5vhW3sbDhbH9Cz0tuDiY8C3ctxq1tqvaCgkFb8cCA/edit?usp=sharing"",""บึงกาฬ!I446"")"),5000)</f>
        <v>5000</v>
      </c>
      <c r="J551" s="410">
        <f ca="1">IFERROR(__xludf.DUMMYFUNCTION("IMPORTRANGE(""https://docs.google.com/spreadsheets/d/1XL5vhW3sbDhbH9Cz0tuDiY8C3ctxq1tqvaCgkFb8cCA/edit?usp=sharing"",""บึงกาฬ!J446"")"),1991)</f>
        <v>1991</v>
      </c>
      <c r="K551" s="411">
        <f ca="1">IF(I551&gt;0,J551*100/I551,0)</f>
        <v>39.82</v>
      </c>
      <c r="L551" s="412">
        <f ca="1">IFERROR(__xludf.DUMMYFUNCTION("IMPORTRANGE(""https://docs.google.com/spreadsheets/d/1XL5vhW3sbDhbH9Cz0tuDiY8C3ctxq1tqvaCgkFb8cCA/edit?usp=sharing"",""บึงกาฬ!L446"")"),320000)</f>
        <v>320000</v>
      </c>
      <c r="M551" s="412"/>
      <c r="N551" s="412">
        <f ca="1">IFERROR(__xludf.DUMMYFUNCTION("IMPORTRANGE(""https://docs.google.com/spreadsheets/d/1XL5vhW3sbDhbH9Cz0tuDiY8C3ctxq1tqvaCgkFb8cCA/edit?usp=sharing"",""บึงกาฬ!M446"")"),287909)</f>
        <v>287909</v>
      </c>
      <c r="O551" s="412">
        <f t="shared" ref="O551:O555" ca="1" si="120">+IF(L551&gt;0,N551*100/L551,0)</f>
        <v>89.971562500000005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IFERROR(__xludf.DUMMYFUNCTION("IMPORTRANGE(""https://docs.google.com/spreadsheets/d/1XL5vhW3sbDhbH9Cz0tuDiY8C3ctxq1tqvaCgkFb8cCA/edit?usp=sharing"",""บึงกาฬ!L447"")"),0)</f>
        <v>0</v>
      </c>
      <c r="M552" s="164"/>
      <c r="N552" s="169">
        <f ca="1">IFERROR(__xludf.DUMMYFUNCTION("IMPORTRANGE(""https://docs.google.com/spreadsheets/d/1XL5vhW3sbDhbH9Cz0tuDiY8C3ctxq1tqvaCgkFb8cCA/edit?usp=sharing"",""บึงกาฬ!M447"")"),0)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IFERROR(__xludf.DUMMYFUNCTION("IMPORTRANGE(""https://docs.google.com/spreadsheets/d/1XL5vhW3sbDhbH9Cz0tuDiY8C3ctxq1tqvaCgkFb8cCA/edit?usp=sharing"",""บึงกาฬ!L448"")"),320000)</f>
        <v>320000</v>
      </c>
      <c r="M553" s="165"/>
      <c r="N553" s="169">
        <f ca="1">IFERROR(__xludf.DUMMYFUNCTION("IMPORTRANGE(""https://docs.google.com/spreadsheets/d/1XL5vhW3sbDhbH9Cz0tuDiY8C3ctxq1tqvaCgkFb8cCA/edit?usp=sharing"",""บึงกาฬ!M448"")"),287909)</f>
        <v>287909</v>
      </c>
      <c r="O553" s="169">
        <f t="shared" ca="1" si="120"/>
        <v>89.971562500000005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IFERROR(__xludf.DUMMYFUNCTION("IMPORTRANGE(""https://docs.google.com/spreadsheets/d/1XL5vhW3sbDhbH9Cz0tuDiY8C3ctxq1tqvaCgkFb8cCA/edit?usp=sharing"",""บึงกาฬ!L449"")"),0)</f>
        <v>0</v>
      </c>
      <c r="M554" s="169"/>
      <c r="N554" s="169">
        <f ca="1">IFERROR(__xludf.DUMMYFUNCTION("IMPORTRANGE(""https://docs.google.com/spreadsheets/d/1XL5vhW3sbDhbH9Cz0tuDiY8C3ctxq1tqvaCgkFb8cCA/edit?usp=sharing"",""บึงกาฬ!M449"")"),0)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IFERROR(__xludf.DUMMYFUNCTION("IMPORTRANGE(""https://docs.google.com/spreadsheets/d/1XL5vhW3sbDhbH9Cz0tuDiY8C3ctxq1tqvaCgkFb8cCA/edit?usp=sharing"",""บึงกาฬ!L450"")"),320000)</f>
        <v>320000</v>
      </c>
      <c r="M555" s="169"/>
      <c r="N555" s="169">
        <f ca="1">IFERROR(__xludf.DUMMYFUNCTION("IMPORTRANGE(""https://docs.google.com/spreadsheets/d/1XL5vhW3sbDhbH9Cz0tuDiY8C3ctxq1tqvaCgkFb8cCA/edit?usp=sharing"",""บึงกาฬ!M450"")"),287909)</f>
        <v>287909</v>
      </c>
      <c r="O555" s="169">
        <f t="shared" ca="1" si="120"/>
        <v>89.971562500000005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IFERROR(__xludf.DUMMYFUNCTION("IMPORTRANGE(""https://docs.google.com/spreadsheets/d/1XL5vhW3sbDhbH9Cz0tuDiY8C3ctxq1tqvaCgkFb8cCA/edit?usp=sharing"",""บึงกาฬ!M451"")"),0)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IFERROR(__xludf.DUMMYFUNCTION("IMPORTRANGE(""https://docs.google.com/spreadsheets/d/1XL5vhW3sbDhbH9Cz0tuDiY8C3ctxq1tqvaCgkFb8cCA/edit?usp=sharing"",""บึงกาฬ!M452"")"),0)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IFERROR(__xludf.DUMMYFUNCTION("IMPORTRANGE(""https://docs.google.com/spreadsheets/d/1XL5vhW3sbDhbH9Cz0tuDiY8C3ctxq1tqvaCgkFb8cCA/edit?usp=sharing"",""บึงกาฬ!M453"")"),0)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IFERROR(__xludf.DUMMYFUNCTION("IMPORTRANGE(""https://docs.google.com/spreadsheets/d/1XL5vhW3sbDhbH9Cz0tuDiY8C3ctxq1tqvaCgkFb8cCA/edit?usp=sharing"",""บึงกาฬ!M454"")"),287909)</f>
        <v>287909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IFERROR(__xludf.DUMMYFUNCTION("IMPORTRANGE(""https://docs.google.com/spreadsheets/d/1XL5vhW3sbDhbH9Cz0tuDiY8C3ctxq1tqvaCgkFb8cCA/edit?usp=sharing"",""บึงกาฬ!I455"")"),5000)</f>
        <v>5000</v>
      </c>
      <c r="J560" s="162">
        <f ca="1">IFERROR(__xludf.DUMMYFUNCTION("IMPORTRANGE(""https://docs.google.com/spreadsheets/d/1XL5vhW3sbDhbH9Cz0tuDiY8C3ctxq1tqvaCgkFb8cCA/edit?usp=sharing"",""บึงกาฬ!J455"")"),1991)</f>
        <v>1991</v>
      </c>
      <c r="K560" s="224">
        <f t="shared" ref="K560:K561" ca="1" si="121">IF(I560&gt;0,J560*100/I560,0)</f>
        <v>39.82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IFERROR(__xludf.DUMMYFUNCTION("IMPORTRANGE(""https://docs.google.com/spreadsheets/d/1XL5vhW3sbDhbH9Cz0tuDiY8C3ctxq1tqvaCgkFb8cCA/edit?usp=sharing"",""บึงกาฬ!I456"")"),0)</f>
        <v>0</v>
      </c>
      <c r="J561" s="204">
        <f ca="1">IFERROR(__xludf.DUMMYFUNCTION("IMPORTRANGE(""https://docs.google.com/spreadsheets/d/1XL5vhW3sbDhbH9Cz0tuDiY8C3ctxq1tqvaCgkFb8cCA/edit?usp=sharing"",""บึงกาฬ!J456"")"),136)</f>
        <v>136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IFERROR(__xludf.DUMMYFUNCTION("IMPORTRANGE(""https://docs.google.com/spreadsheets/d/1XL5vhW3sbDhbH9Cz0tuDiY8C3ctxq1tqvaCgkFb8cCA/edit?usp=sharing"",""บึงกาฬ!I459"")"),3500)</f>
        <v>3500</v>
      </c>
      <c r="J564" s="371">
        <f ca="1">IFERROR(__xludf.DUMMYFUNCTION("IMPORTRANGE(""https://docs.google.com/spreadsheets/d/1XL5vhW3sbDhbH9Cz0tuDiY8C3ctxq1tqvaCgkFb8cCA/edit?usp=sharing"",""บึงกาฬ!J459"")"),1938)</f>
        <v>1938</v>
      </c>
      <c r="K564" s="372">
        <f ca="1">IF(I564&gt;0,J564*100/I564,0)</f>
        <v>55.371428571428574</v>
      </c>
      <c r="L564" s="373">
        <f ca="1">IFERROR(__xludf.DUMMYFUNCTION("IMPORTRANGE(""https://docs.google.com/spreadsheets/d/1XL5vhW3sbDhbH9Cz0tuDiY8C3ctxq1tqvaCgkFb8cCA/edit?usp=sharing"",""บึงกาฬ!L459"")"),160000)</f>
        <v>160000</v>
      </c>
      <c r="M564" s="373"/>
      <c r="N564" s="373">
        <f ca="1">IFERROR(__xludf.DUMMYFUNCTION("IMPORTRANGE(""https://docs.google.com/spreadsheets/d/1XL5vhW3sbDhbH9Cz0tuDiY8C3ctxq1tqvaCgkFb8cCA/edit?usp=sharing"",""บึงกาฬ!M459"")"),75128)</f>
        <v>75128</v>
      </c>
      <c r="O564" s="373">
        <f t="shared" ref="O564:O568" ca="1" si="122">+IF(L564&gt;0,N564*100/L564,0)</f>
        <v>46.954999999999998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IFERROR(__xludf.DUMMYFUNCTION("IMPORTRANGE(""https://docs.google.com/spreadsheets/d/1XL5vhW3sbDhbH9Cz0tuDiY8C3ctxq1tqvaCgkFb8cCA/edit?usp=sharing"",""บึงกาฬ!L460"")"),0)</f>
        <v>0</v>
      </c>
      <c r="M565" s="164"/>
      <c r="N565" s="169">
        <f ca="1">IFERROR(__xludf.DUMMYFUNCTION("IMPORTRANGE(""https://docs.google.com/spreadsheets/d/1XL5vhW3sbDhbH9Cz0tuDiY8C3ctxq1tqvaCgkFb8cCA/edit?usp=sharing"",""บึงกาฬ!M460"")"),0)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IFERROR(__xludf.DUMMYFUNCTION("IMPORTRANGE(""https://docs.google.com/spreadsheets/d/1XL5vhW3sbDhbH9Cz0tuDiY8C3ctxq1tqvaCgkFb8cCA/edit?usp=sharing"",""บึงกาฬ!L461"")"),160000)</f>
        <v>160000</v>
      </c>
      <c r="M566" s="165"/>
      <c r="N566" s="169">
        <f ca="1">IFERROR(__xludf.DUMMYFUNCTION("IMPORTRANGE(""https://docs.google.com/spreadsheets/d/1XL5vhW3sbDhbH9Cz0tuDiY8C3ctxq1tqvaCgkFb8cCA/edit?usp=sharing"",""บึงกาฬ!M461"")"),75128)</f>
        <v>75128</v>
      </c>
      <c r="O566" s="169">
        <f t="shared" ca="1" si="122"/>
        <v>46.954999999999998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IFERROR(__xludf.DUMMYFUNCTION("IMPORTRANGE(""https://docs.google.com/spreadsheets/d/1XL5vhW3sbDhbH9Cz0tuDiY8C3ctxq1tqvaCgkFb8cCA/edit?usp=sharing"",""บึงกาฬ!L462"")"),0)</f>
        <v>0</v>
      </c>
      <c r="M567" s="169"/>
      <c r="N567" s="169">
        <f ca="1">IFERROR(__xludf.DUMMYFUNCTION("IMPORTRANGE(""https://docs.google.com/spreadsheets/d/1XL5vhW3sbDhbH9Cz0tuDiY8C3ctxq1tqvaCgkFb8cCA/edit?usp=sharing"",""บึงกาฬ!M462"")"),0)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IFERROR(__xludf.DUMMYFUNCTION("IMPORTRANGE(""https://docs.google.com/spreadsheets/d/1XL5vhW3sbDhbH9Cz0tuDiY8C3ctxq1tqvaCgkFb8cCA/edit?usp=sharing"",""บึงกาฬ!L463"")"),160000)</f>
        <v>160000</v>
      </c>
      <c r="M568" s="169"/>
      <c r="N568" s="169">
        <f ca="1">IFERROR(__xludf.DUMMYFUNCTION("IMPORTRANGE(""https://docs.google.com/spreadsheets/d/1XL5vhW3sbDhbH9Cz0tuDiY8C3ctxq1tqvaCgkFb8cCA/edit?usp=sharing"",""บึงกาฬ!M463"")"),75128)</f>
        <v>75128</v>
      </c>
      <c r="O568" s="169">
        <f t="shared" ca="1" si="122"/>
        <v>46.954999999999998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IFERROR(__xludf.DUMMYFUNCTION("IMPORTRANGE(""https://docs.google.com/spreadsheets/d/1XL5vhW3sbDhbH9Cz0tuDiY8C3ctxq1tqvaCgkFb8cCA/edit?usp=sharing"",""บึงกาฬ!M464"")"),0)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IFERROR(__xludf.DUMMYFUNCTION("IMPORTRANGE(""https://docs.google.com/spreadsheets/d/1XL5vhW3sbDhbH9Cz0tuDiY8C3ctxq1tqvaCgkFb8cCA/edit?usp=sharing"",""บึงกาฬ!M465"")"),0)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IFERROR(__xludf.DUMMYFUNCTION("IMPORTRANGE(""https://docs.google.com/spreadsheets/d/1XL5vhW3sbDhbH9Cz0tuDiY8C3ctxq1tqvaCgkFb8cCA/edit?usp=sharing"",""บึงกาฬ!M466"")"),54278)</f>
        <v>54278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IFERROR(__xludf.DUMMYFUNCTION("IMPORTRANGE(""https://docs.google.com/spreadsheets/d/1XL5vhW3sbDhbH9Cz0tuDiY8C3ctxq1tqvaCgkFb8cCA/edit?usp=sharing"",""บึงกาฬ!M467"")"),20850)</f>
        <v>20850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IFERROR(__xludf.DUMMYFUNCTION("IMPORTRANGE(""https://docs.google.com/spreadsheets/d/1XL5vhW3sbDhbH9Cz0tuDiY8C3ctxq1tqvaCgkFb8cCA/edit?usp=sharing"",""บึงกาฬ!I468"")"),3500)</f>
        <v>3500</v>
      </c>
      <c r="J573" s="420">
        <f ca="1">IFERROR(__xludf.DUMMYFUNCTION("IMPORTRANGE(""https://docs.google.com/spreadsheets/d/1XL5vhW3sbDhbH9Cz0tuDiY8C3ctxq1tqvaCgkFb8cCA/edit?usp=sharing"",""บึงกาฬ!J468"")"),1938)</f>
        <v>1938</v>
      </c>
      <c r="K573" s="202">
        <f ca="1">IF(I573&gt;0,J573*100/I573,0)</f>
        <v>55.371428571428574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IFERROR(__xludf.DUMMYFUNCTION("IMPORTRANGE(""https://docs.google.com/spreadsheets/d/1XL5vhW3sbDhbH9Cz0tuDiY8C3ctxq1tqvaCgkFb8cCA/edit?usp=sharing"",""บึงกาฬ!I470"")"),0)</f>
        <v>0</v>
      </c>
      <c r="J575" s="198">
        <f ca="1">IFERROR(__xludf.DUMMYFUNCTION("IMPORTRANGE(""https://docs.google.com/spreadsheets/d/1XL5vhW3sbDhbH9Cz0tuDiY8C3ctxq1tqvaCgkFb8cCA/edit?usp=sharing"",""บึงกาฬ!J470"")"),3)</f>
        <v>3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IFERROR(__xludf.DUMMYFUNCTION("IMPORTRANGE(""https://docs.google.com/spreadsheets/d/1XL5vhW3sbDhbH9Cz0tuDiY8C3ctxq1tqvaCgkFb8cCA/edit?usp=sharing"",""บึงกาฬ!I471"")"),0)</f>
        <v>0</v>
      </c>
      <c r="J576" s="198">
        <f ca="1">IFERROR(__xludf.DUMMYFUNCTION("IMPORTRANGE(""https://docs.google.com/spreadsheets/d/1XL5vhW3sbDhbH9Cz0tuDiY8C3ctxq1tqvaCgkFb8cCA/edit?usp=sharing"",""บึงกาฬ!J471"")"),155)</f>
        <v>155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IFERROR(__xludf.DUMMYFUNCTION("IMPORTRANGE(""https://docs.google.com/spreadsheets/d/1XL5vhW3sbDhbH9Cz0tuDiY8C3ctxq1tqvaCgkFb8cCA/edit?usp=sharing"",""บึงกาฬ!I472"")"),0)</f>
        <v>0</v>
      </c>
      <c r="J577" s="189">
        <f ca="1">IFERROR(__xludf.DUMMYFUNCTION("IMPORTRANGE(""https://docs.google.com/spreadsheets/d/1XL5vhW3sbDhbH9Cz0tuDiY8C3ctxq1tqvaCgkFb8cCA/edit?usp=sharing"",""บึงกาฬ!J472"")"),1783)</f>
        <v>1783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IFERROR(__xludf.DUMMYFUNCTION("IMPORTRANGE(""https://docs.google.com/spreadsheets/d/1XL5vhW3sbDhbH9Cz0tuDiY8C3ctxq1tqvaCgkFb8cCA/edit?usp=sharing"",""บึงกาฬ!I473"")"),0)</f>
        <v>0</v>
      </c>
      <c r="J578" s="198">
        <f ca="1">IFERROR(__xludf.DUMMYFUNCTION("IMPORTRANGE(""https://docs.google.com/spreadsheets/d/1XL5vhW3sbDhbH9Cz0tuDiY8C3ctxq1tqvaCgkFb8cCA/edit?usp=sharing"",""บึงกาฬ!J473"")"),0)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IFERROR(__xludf.DUMMYFUNCTION("IMPORTRANGE(""https://docs.google.com/spreadsheets/d/1XL5vhW3sbDhbH9Cz0tuDiY8C3ctxq1tqvaCgkFb8cCA/edit?usp=sharing"",""บึงกาฬ!I474"")"),0)</f>
        <v>0</v>
      </c>
      <c r="J579" s="198">
        <f ca="1">IFERROR(__xludf.DUMMYFUNCTION("IMPORTRANGE(""https://docs.google.com/spreadsheets/d/1XL5vhW3sbDhbH9Cz0tuDiY8C3ctxq1tqvaCgkFb8cCA/edit?usp=sharing"",""บึงกาฬ!J474"")"),0)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IFERROR(__xludf.DUMMYFUNCTION("IMPORTRANGE(""https://docs.google.com/spreadsheets/d/1XL5vhW3sbDhbH9Cz0tuDiY8C3ctxq1tqvaCgkFb8cCA/edit?usp=sharing"",""บึงกาฬ!I475"")"),50)</f>
        <v>50</v>
      </c>
      <c r="J580" s="371">
        <f ca="1">IFERROR(__xludf.DUMMYFUNCTION("IMPORTRANGE(""https://docs.google.com/spreadsheets/d/1XL5vhW3sbDhbH9Cz0tuDiY8C3ctxq1tqvaCgkFb8cCA/edit?usp=sharing"",""บึงกาฬ!J475"")"),1)</f>
        <v>1</v>
      </c>
      <c r="K580" s="372">
        <f ca="1">IF(I580&gt;0,J580*100/I580,0)</f>
        <v>2</v>
      </c>
      <c r="L580" s="373">
        <f ca="1">IFERROR(__xludf.DUMMYFUNCTION("IMPORTRANGE(""https://docs.google.com/spreadsheets/d/1XL5vhW3sbDhbH9Cz0tuDiY8C3ctxq1tqvaCgkFb8cCA/edit?usp=sharing"",""บึงกาฬ!L475"")"),144350)</f>
        <v>144350</v>
      </c>
      <c r="M580" s="373"/>
      <c r="N580" s="373">
        <f ca="1">IFERROR(__xludf.DUMMYFUNCTION("IMPORTRANGE(""https://docs.google.com/spreadsheets/d/1XL5vhW3sbDhbH9Cz0tuDiY8C3ctxq1tqvaCgkFb8cCA/edit?usp=sharing"",""บึงกาฬ!M475"")"),0)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IFERROR(__xludf.DUMMYFUNCTION("IMPORTRANGE(""https://docs.google.com/spreadsheets/d/1XL5vhW3sbDhbH9Cz0tuDiY8C3ctxq1tqvaCgkFb8cCA/edit?usp=sharing"",""บึงกาฬ!L476"")"),0)</f>
        <v>0</v>
      </c>
      <c r="M581" s="164"/>
      <c r="N581" s="169">
        <f ca="1">IFERROR(__xludf.DUMMYFUNCTION("IMPORTRANGE(""https://docs.google.com/spreadsheets/d/1XL5vhW3sbDhbH9Cz0tuDiY8C3ctxq1tqvaCgkFb8cCA/edit?usp=sharing"",""บึงกาฬ!M476"")"),0)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IFERROR(__xludf.DUMMYFUNCTION("IMPORTRANGE(""https://docs.google.com/spreadsheets/d/1XL5vhW3sbDhbH9Cz0tuDiY8C3ctxq1tqvaCgkFb8cCA/edit?usp=sharing"",""บึงกาฬ!L477"")"),144350)</f>
        <v>144350</v>
      </c>
      <c r="M582" s="165"/>
      <c r="N582" s="169">
        <f ca="1">IFERROR(__xludf.DUMMYFUNCTION("IMPORTRANGE(""https://docs.google.com/spreadsheets/d/1XL5vhW3sbDhbH9Cz0tuDiY8C3ctxq1tqvaCgkFb8cCA/edit?usp=sharing"",""บึงกาฬ!M477"")"),0)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IFERROR(__xludf.DUMMYFUNCTION("IMPORTRANGE(""https://docs.google.com/spreadsheets/d/1XL5vhW3sbDhbH9Cz0tuDiY8C3ctxq1tqvaCgkFb8cCA/edit?usp=sharing"",""บึงกาฬ!L478"")"),0)</f>
        <v>0</v>
      </c>
      <c r="M583" s="169"/>
      <c r="N583" s="169">
        <f ca="1">IFERROR(__xludf.DUMMYFUNCTION("IMPORTRANGE(""https://docs.google.com/spreadsheets/d/1XL5vhW3sbDhbH9Cz0tuDiY8C3ctxq1tqvaCgkFb8cCA/edit?usp=sharing"",""บึงกาฬ!M478"")"),0)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IFERROR(__xludf.DUMMYFUNCTION("IMPORTRANGE(""https://docs.google.com/spreadsheets/d/1XL5vhW3sbDhbH9Cz0tuDiY8C3ctxq1tqvaCgkFb8cCA/edit?usp=sharing"",""บึงกาฬ!L479"")"),144350)</f>
        <v>144350</v>
      </c>
      <c r="M584" s="169"/>
      <c r="N584" s="169">
        <f ca="1">IFERROR(__xludf.DUMMYFUNCTION("IMPORTRANGE(""https://docs.google.com/spreadsheets/d/1XL5vhW3sbDhbH9Cz0tuDiY8C3ctxq1tqvaCgkFb8cCA/edit?usp=sharing"",""บึงกาฬ!M479"")"),0)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IFERROR(__xludf.DUMMYFUNCTION("IMPORTRANGE(""https://docs.google.com/spreadsheets/d/1XL5vhW3sbDhbH9Cz0tuDiY8C3ctxq1tqvaCgkFb8cCA/edit?usp=sharing"",""บึงกาฬ!M480"")"),0)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IFERROR(__xludf.DUMMYFUNCTION("IMPORTRANGE(""https://docs.google.com/spreadsheets/d/1XL5vhW3sbDhbH9Cz0tuDiY8C3ctxq1tqvaCgkFb8cCA/edit?usp=sharing"",""บึงกาฬ!M481"")"),0)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IFERROR(__xludf.DUMMYFUNCTION("IMPORTRANGE(""https://docs.google.com/spreadsheets/d/1XL5vhW3sbDhbH9Cz0tuDiY8C3ctxq1tqvaCgkFb8cCA/edit?usp=sharing"",""บึงกาฬ!M482"")"),0)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IFERROR(__xludf.DUMMYFUNCTION("IMPORTRANGE(""https://docs.google.com/spreadsheets/d/1XL5vhW3sbDhbH9Cz0tuDiY8C3ctxq1tqvaCgkFb8cCA/edit?usp=sharing"",""บึงกาฬ!M483"")"),0)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IFERROR(__xludf.DUMMYFUNCTION("IMPORTRANGE(""https://docs.google.com/spreadsheets/d/1XL5vhW3sbDhbH9Cz0tuDiY8C3ctxq1tqvaCgkFb8cCA/edit?usp=sharing"",""บึงกาฬ!I484"")"),50)</f>
        <v>50</v>
      </c>
      <c r="J589" s="188">
        <f ca="1">IFERROR(__xludf.DUMMYFUNCTION("IMPORTRANGE(""https://docs.google.com/spreadsheets/d/1XL5vhW3sbDhbH9Cz0tuDiY8C3ctxq1tqvaCgkFb8cCA/edit?usp=sharing"",""บึงกาฬ!J484"")"),12)</f>
        <v>12</v>
      </c>
      <c r="K589" s="163">
        <f t="shared" ref="K589:K596" ca="1" si="125">IF(I589&gt;0,J589*100/I589,0)</f>
        <v>24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IFERROR(__xludf.DUMMYFUNCTION("IMPORTRANGE(""https://docs.google.com/spreadsheets/d/1XL5vhW3sbDhbH9Cz0tuDiY8C3ctxq1tqvaCgkFb8cCA/edit?usp=sharing"",""บึงกาฬ!I485"")"),0)</f>
        <v>0</v>
      </c>
      <c r="J590" s="188">
        <f ca="1">IFERROR(__xludf.DUMMYFUNCTION("IMPORTRANGE(""https://docs.google.com/spreadsheets/d/1XL5vhW3sbDhbH9Cz0tuDiY8C3ctxq1tqvaCgkFb8cCA/edit?usp=sharing"",""บึงกาฬ!J485"")"),60.63)</f>
        <v>60.63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IFERROR(__xludf.DUMMYFUNCTION("IMPORTRANGE(""https://docs.google.com/spreadsheets/d/1XL5vhW3sbDhbH9Cz0tuDiY8C3ctxq1tqvaCgkFb8cCA/edit?usp=sharing"",""บึงกาฬ!I486"")"),50)</f>
        <v>50</v>
      </c>
      <c r="J591" s="188">
        <f ca="1">IFERROR(__xludf.DUMMYFUNCTION("IMPORTRANGE(""https://docs.google.com/spreadsheets/d/1XL5vhW3sbDhbH9Cz0tuDiY8C3ctxq1tqvaCgkFb8cCA/edit?usp=sharing"",""บึงกาฬ!J486"")"),11)</f>
        <v>11</v>
      </c>
      <c r="K591" s="163">
        <f t="shared" ca="1" si="125"/>
        <v>22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IFERROR(__xludf.DUMMYFUNCTION("IMPORTRANGE(""https://docs.google.com/spreadsheets/d/1XL5vhW3sbDhbH9Cz0tuDiY8C3ctxq1tqvaCgkFb8cCA/edit?usp=sharing"",""บึงกาฬ!I487"")"),0)</f>
        <v>0</v>
      </c>
      <c r="J592" s="188">
        <f ca="1">IFERROR(__xludf.DUMMYFUNCTION("IMPORTRANGE(""https://docs.google.com/spreadsheets/d/1XL5vhW3sbDhbH9Cz0tuDiY8C3ctxq1tqvaCgkFb8cCA/edit?usp=sharing"",""บึงกาฬ!J487"")"),32.45)</f>
        <v>32.450000000000003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IFERROR(__xludf.DUMMYFUNCTION("IMPORTRANGE(""https://docs.google.com/spreadsheets/d/1XL5vhW3sbDhbH9Cz0tuDiY8C3ctxq1tqvaCgkFb8cCA/edit?usp=sharing"",""บึงกาฬ!I488"")"),50)</f>
        <v>50</v>
      </c>
      <c r="J593" s="188">
        <f ca="1">IFERROR(__xludf.DUMMYFUNCTION("IMPORTRANGE(""https://docs.google.com/spreadsheets/d/1XL5vhW3sbDhbH9Cz0tuDiY8C3ctxq1tqvaCgkFb8cCA/edit?usp=sharing"",""บึงกาฬ!J488"")"),1)</f>
        <v>1</v>
      </c>
      <c r="K593" s="163">
        <f t="shared" ca="1" si="125"/>
        <v>2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IFERROR(__xludf.DUMMYFUNCTION("IMPORTRANGE(""https://docs.google.com/spreadsheets/d/1XL5vhW3sbDhbH9Cz0tuDiY8C3ctxq1tqvaCgkFb8cCA/edit?usp=sharing"",""บึงกาฬ!I489"")"),0)</f>
        <v>0</v>
      </c>
      <c r="J594" s="188">
        <f ca="1">IFERROR(__xludf.DUMMYFUNCTION("IMPORTRANGE(""https://docs.google.com/spreadsheets/d/1XL5vhW3sbDhbH9Cz0tuDiY8C3ctxq1tqvaCgkFb8cCA/edit?usp=sharing"",""บึงกาฬ!J489"")"),12.03)</f>
        <v>12.03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IFERROR(__xludf.DUMMYFUNCTION("IMPORTRANGE(""https://docs.google.com/spreadsheets/d/1XL5vhW3sbDhbH9Cz0tuDiY8C3ctxq1tqvaCgkFb8cCA/edit?usp=sharing"",""บึงกาฬ!I490"")"),50)</f>
        <v>50</v>
      </c>
      <c r="J595" s="188">
        <f ca="1">IFERROR(__xludf.DUMMYFUNCTION("IMPORTRANGE(""https://docs.google.com/spreadsheets/d/1XL5vhW3sbDhbH9Cz0tuDiY8C3ctxq1tqvaCgkFb8cCA/edit?usp=sharing"",""บึงกาฬ!J490"")"),1)</f>
        <v>1</v>
      </c>
      <c r="K595" s="163">
        <f t="shared" ca="1" si="125"/>
        <v>2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IFERROR(__xludf.DUMMYFUNCTION("IMPORTRANGE(""https://docs.google.com/spreadsheets/d/1XL5vhW3sbDhbH9Cz0tuDiY8C3ctxq1tqvaCgkFb8cCA/edit?usp=sharing"",""บึงกาฬ!I491"")"),0)</f>
        <v>0</v>
      </c>
      <c r="J596" s="241">
        <f ca="1">IFERROR(__xludf.DUMMYFUNCTION("IMPORTRANGE(""https://docs.google.com/spreadsheets/d/1XL5vhW3sbDhbH9Cz0tuDiY8C3ctxq1tqvaCgkFb8cCA/edit?usp=sharing"",""บึงกาฬ!J491"")"),0.6)</f>
        <v>0.6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IFERROR(__xludf.DUMMYFUNCTION("IMPORTRANGE(""https://docs.google.com/spreadsheets/d/1XL5vhW3sbDhbH9Cz0tuDiY8C3ctxq1tqvaCgkFb8cCA/edit?usp=sharing"",""บึงกาฬ!I492"")"),50)</f>
        <v>50</v>
      </c>
      <c r="J597" s="487">
        <f ca="1">IFERROR(__xludf.DUMMYFUNCTION("IMPORTRANGE(""https://docs.google.com/spreadsheets/d/1XL5vhW3sbDhbH9Cz0tuDiY8C3ctxq1tqvaCgkFb8cCA/edit?usp=sharing"",""บึงกาฬ!J492"")"),0)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IFERROR(__xludf.DUMMYFUNCTION("IMPORTRANGE(""https://docs.google.com/spreadsheets/d/1XL5vhW3sbDhbH9Cz0tuDiY8C3ctxq1tqvaCgkFb8cCA/edit?usp=sharing"",""บึงกาฬ!L492"")"),5350)</f>
        <v>5350</v>
      </c>
      <c r="M597" s="412"/>
      <c r="N597" s="412">
        <f ca="1">IFERROR(__xludf.DUMMYFUNCTION("IMPORTRANGE(""https://docs.google.com/spreadsheets/d/1XL5vhW3sbDhbH9Cz0tuDiY8C3ctxq1tqvaCgkFb8cCA/edit?usp=sharing"",""บึงกาฬ!M492"")"),0)</f>
        <v>0</v>
      </c>
      <c r="O597" s="412">
        <f t="shared" ref="O597:O601" ca="1" si="126">+IF(L597&gt;0,N597*100/L597,0)</f>
        <v>0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IFERROR(__xludf.DUMMYFUNCTION("IMPORTRANGE(""https://docs.google.com/spreadsheets/d/1XL5vhW3sbDhbH9Cz0tuDiY8C3ctxq1tqvaCgkFb8cCA/edit?usp=sharing"",""บึงกาฬ!L493"")"),0)</f>
        <v>0</v>
      </c>
      <c r="M598" s="164"/>
      <c r="N598" s="169">
        <f ca="1">IFERROR(__xludf.DUMMYFUNCTION("IMPORTRANGE(""https://docs.google.com/spreadsheets/d/1XL5vhW3sbDhbH9Cz0tuDiY8C3ctxq1tqvaCgkFb8cCA/edit?usp=sharing"",""บึงกาฬ!M493"")"),0)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IFERROR(__xludf.DUMMYFUNCTION("IMPORTRANGE(""https://docs.google.com/spreadsheets/d/1XL5vhW3sbDhbH9Cz0tuDiY8C3ctxq1tqvaCgkFb8cCA/edit?usp=sharing"",""บึงกาฬ!L494"")"),5350)</f>
        <v>5350</v>
      </c>
      <c r="M599" s="165"/>
      <c r="N599" s="169">
        <f ca="1">IFERROR(__xludf.DUMMYFUNCTION("IMPORTRANGE(""https://docs.google.com/spreadsheets/d/1XL5vhW3sbDhbH9Cz0tuDiY8C3ctxq1tqvaCgkFb8cCA/edit?usp=sharing"",""บึงกาฬ!M494"")"),0)</f>
        <v>0</v>
      </c>
      <c r="O599" s="169">
        <f t="shared" ca="1" si="126"/>
        <v>0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IFERROR(__xludf.DUMMYFUNCTION("IMPORTRANGE(""https://docs.google.com/spreadsheets/d/1XL5vhW3sbDhbH9Cz0tuDiY8C3ctxq1tqvaCgkFb8cCA/edit?usp=sharing"",""บึงกาฬ!L495"")"),0)</f>
        <v>0</v>
      </c>
      <c r="M600" s="169"/>
      <c r="N600" s="169">
        <f ca="1">IFERROR(__xludf.DUMMYFUNCTION("IMPORTRANGE(""https://docs.google.com/spreadsheets/d/1XL5vhW3sbDhbH9Cz0tuDiY8C3ctxq1tqvaCgkFb8cCA/edit?usp=sharing"",""บึงกาฬ!M495"")"),0)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IFERROR(__xludf.DUMMYFUNCTION("IMPORTRANGE(""https://docs.google.com/spreadsheets/d/1XL5vhW3sbDhbH9Cz0tuDiY8C3ctxq1tqvaCgkFb8cCA/edit?usp=sharing"",""บึงกาฬ!L496"")"),5350)</f>
        <v>5350</v>
      </c>
      <c r="M601" s="169"/>
      <c r="N601" s="169">
        <f ca="1">IFERROR(__xludf.DUMMYFUNCTION("IMPORTRANGE(""https://docs.google.com/spreadsheets/d/1XL5vhW3sbDhbH9Cz0tuDiY8C3ctxq1tqvaCgkFb8cCA/edit?usp=sharing"",""บึงกาฬ!M496"")"),0)</f>
        <v>0</v>
      </c>
      <c r="O601" s="169">
        <f t="shared" ca="1" si="126"/>
        <v>0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IFERROR(__xludf.DUMMYFUNCTION("IMPORTRANGE(""https://docs.google.com/spreadsheets/d/1XL5vhW3sbDhbH9Cz0tuDiY8C3ctxq1tqvaCgkFb8cCA/edit?usp=sharing"",""บึงกาฬ!M497"")"),0)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IFERROR(__xludf.DUMMYFUNCTION("IMPORTRANGE(""https://docs.google.com/spreadsheets/d/1XL5vhW3sbDhbH9Cz0tuDiY8C3ctxq1tqvaCgkFb8cCA/edit?usp=sharing"",""บึงกาฬ!M498"")"),0)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IFERROR(__xludf.DUMMYFUNCTION("IMPORTRANGE(""https://docs.google.com/spreadsheets/d/1XL5vhW3sbDhbH9Cz0tuDiY8C3ctxq1tqvaCgkFb8cCA/edit?usp=sharing"",""บึงกาฬ!M499"")"),0)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IFERROR(__xludf.DUMMYFUNCTION("IMPORTRANGE(""https://docs.google.com/spreadsheets/d/1XL5vhW3sbDhbH9Cz0tuDiY8C3ctxq1tqvaCgkFb8cCA/edit?usp=sharing"",""บึงกาฬ!M500"")"),0)</f>
        <v>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IFERROR(__xludf.DUMMYFUNCTION("IMPORTRANGE(""https://docs.google.com/spreadsheets/d/1XL5vhW3sbDhbH9Cz0tuDiY8C3ctxq1tqvaCgkFb8cCA/edit?usp=sharing"",""บึงกาฬ!J502"")"),0)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IFERROR(__xludf.DUMMYFUNCTION("IMPORTRANGE(""https://docs.google.com/spreadsheets/d/1XL5vhW3sbDhbH9Cz0tuDiY8C3ctxq1tqvaCgkFb8cCA/edit?usp=sharing"",""บึงกาฬ!J503"")"),1)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539"/>
      <c r="B609" s="540"/>
      <c r="C609" s="540"/>
      <c r="D609" s="541"/>
      <c r="E609" s="542" t="s">
        <v>46</v>
      </c>
      <c r="F609" s="543"/>
      <c r="G609" s="544"/>
      <c r="H609" s="545"/>
      <c r="I609" s="546"/>
      <c r="J609" s="546">
        <f ca="1">IFERROR(__xludf.DUMMYFUNCTION("IMPORTRANGE(""https://docs.google.com/spreadsheets/d/1XL5vhW3sbDhbH9Cz0tuDiY8C3ctxq1tqvaCgkFb8cCA/edit?usp=sharing"",""บึงกาฬ!J166"")"),0)</f>
        <v>0</v>
      </c>
      <c r="K609" s="547"/>
      <c r="L609" s="548"/>
      <c r="M609" s="548"/>
      <c r="N609" s="548"/>
      <c r="O609" s="548"/>
      <c r="P609" s="548"/>
    </row>
    <row r="610" spans="1:16" ht="21.75" hidden="1" customHeight="1" x14ac:dyDescent="0.35">
      <c r="A610" s="539"/>
      <c r="B610" s="540"/>
      <c r="C610" s="540"/>
      <c r="D610" s="541"/>
      <c r="E610" s="542" t="s">
        <v>47</v>
      </c>
      <c r="F610" s="543"/>
      <c r="G610" s="544"/>
      <c r="H610" s="545"/>
      <c r="I610" s="546"/>
      <c r="J610" s="546">
        <f ca="1">IFERROR(__xludf.DUMMYFUNCTION("IMPORTRANGE(""https://docs.google.com/spreadsheets/d/1XL5vhW3sbDhbH9Cz0tuDiY8C3ctxq1tqvaCgkFb8cCA/edit?usp=sharing"",""บึงกาฬ!J166"")"),0)</f>
        <v>0</v>
      </c>
      <c r="K610" s="547"/>
      <c r="L610" s="548"/>
      <c r="M610" s="548"/>
      <c r="N610" s="548"/>
      <c r="O610" s="548"/>
      <c r="P610" s="548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IFERROR(__xludf.DUMMYFUNCTION("IMPORTRANGE(""https://docs.google.com/spreadsheets/d/1XL5vhW3sbDhbH9Cz0tuDiY8C3ctxq1tqvaCgkFb8cCA/edit?usp=sharing"",""บึงกาฬ!I506"")"),50)</f>
        <v>50</v>
      </c>
      <c r="J611" s="162">
        <f ca="1">IFERROR(__xludf.DUMMYFUNCTION("IMPORTRANGE(""https://docs.google.com/spreadsheets/d/1XL5vhW3sbDhbH9Cz0tuDiY8C3ctxq1tqvaCgkFb8cCA/edit?usp=sharing"",""บึงกาฬ!J506"")"),0)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IFERROR(__xludf.DUMMYFUNCTION("IMPORTRANGE(""https://docs.google.com/spreadsheets/d/1XL5vhW3sbDhbH9Cz0tuDiY8C3ctxq1tqvaCgkFb8cCA/edit?usp=sharing"",""บึงกาฬ!I507"")"),0)</f>
        <v>0</v>
      </c>
      <c r="J612" s="198">
        <f ca="1">IFERROR(__xludf.DUMMYFUNCTION("IMPORTRANGE(""https://docs.google.com/spreadsheets/d/1XL5vhW3sbDhbH9Cz0tuDiY8C3ctxq1tqvaCgkFb8cCA/edit?usp=sharing"",""บึงกาฬ!J507"")"),0)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IFERROR(__xludf.DUMMYFUNCTION("IMPORTRANGE(""https://docs.google.com/spreadsheets/d/1XL5vhW3sbDhbH9Cz0tuDiY8C3ctxq1tqvaCgkFb8cCA/edit?usp=sharing"",""บึงกาฬ!I508"")"),0)</f>
        <v>0</v>
      </c>
      <c r="J613" s="198">
        <f ca="1">IFERROR(__xludf.DUMMYFUNCTION("IMPORTRANGE(""https://docs.google.com/spreadsheets/d/1XL5vhW3sbDhbH9Cz0tuDiY8C3ctxq1tqvaCgkFb8cCA/edit?usp=sharing"",""บึงกาฬ!J508"")"),0)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IFERROR(__xludf.DUMMYFUNCTION("IMPORTRANGE(""https://docs.google.com/spreadsheets/d/1XL5vhW3sbDhbH9Cz0tuDiY8C3ctxq1tqvaCgkFb8cCA/edit?usp=sharing"",""บึงกาฬ!I509"")"),0)</f>
        <v>0</v>
      </c>
      <c r="J614" s="198">
        <f ca="1">IFERROR(__xludf.DUMMYFUNCTION("IMPORTRANGE(""https://docs.google.com/spreadsheets/d/1XL5vhW3sbDhbH9Cz0tuDiY8C3ctxq1tqvaCgkFb8cCA/edit?usp=sharing"",""บึงกาฬ!J509"")"),0)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IFERROR(__xludf.DUMMYFUNCTION("IMPORTRANGE(""https://docs.google.com/spreadsheets/d/1XL5vhW3sbDhbH9Cz0tuDiY8C3ctxq1tqvaCgkFb8cCA/edit?usp=sharing"",""บึงกาฬ!I510"")"),0)</f>
        <v>0</v>
      </c>
      <c r="J615" s="198">
        <f ca="1">IFERROR(__xludf.DUMMYFUNCTION("IMPORTRANGE(""https://docs.google.com/spreadsheets/d/1XL5vhW3sbDhbH9Cz0tuDiY8C3ctxq1tqvaCgkFb8cCA/edit?usp=sharing"",""บึงกาฬ!J510"")"),0)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IFERROR(__xludf.DUMMYFUNCTION("IMPORTRANGE(""https://docs.google.com/spreadsheets/d/1XL5vhW3sbDhbH9Cz0tuDiY8C3ctxq1tqvaCgkFb8cCA/edit?usp=sharing"",""บึงกาฬ!I511"")"),0)</f>
        <v>0</v>
      </c>
      <c r="J616" s="198">
        <f ca="1">IFERROR(__xludf.DUMMYFUNCTION("IMPORTRANGE(""https://docs.google.com/spreadsheets/d/1XL5vhW3sbDhbH9Cz0tuDiY8C3ctxq1tqvaCgkFb8cCA/edit?usp=sharing"",""บึงกาฬ!J511"")"),0)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IFERROR(__xludf.DUMMYFUNCTION("IMPORTRANGE(""https://docs.google.com/spreadsheets/d/1XL5vhW3sbDhbH9Cz0tuDiY8C3ctxq1tqvaCgkFb8cCA/edit?usp=sharing"",""บึงกาฬ!I512"")"),0)</f>
        <v>0</v>
      </c>
      <c r="J617" s="188">
        <f ca="1">IFERROR(__xludf.DUMMYFUNCTION("IMPORTRANGE(""https://docs.google.com/spreadsheets/d/1XL5vhW3sbDhbH9Cz0tuDiY8C3ctxq1tqvaCgkFb8cCA/edit?usp=sharing"",""บึงกาฬ!J512"")"),0)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IFERROR(__xludf.DUMMYFUNCTION("IMPORTRANGE(""https://docs.google.com/spreadsheets/d/1XL5vhW3sbDhbH9Cz0tuDiY8C3ctxq1tqvaCgkFb8cCA/edit?usp=sharing"",""บึงกาฬ!I513"")"),0)</f>
        <v>0</v>
      </c>
      <c r="J618" s="189">
        <f ca="1">IFERROR(__xludf.DUMMYFUNCTION("IMPORTRANGE(""https://docs.google.com/spreadsheets/d/1XL5vhW3sbDhbH9Cz0tuDiY8C3ctxq1tqvaCgkFb8cCA/edit?usp=sharing"",""บึงกาฬ!J513"")"),0)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IFERROR(__xludf.DUMMYFUNCTION("IMPORTRANGE(""https://docs.google.com/spreadsheets/d/1XL5vhW3sbDhbH9Cz0tuDiY8C3ctxq1tqvaCgkFb8cCA/edit?usp=sharing"",""บึงกาฬ!I514"")"),0)</f>
        <v>0</v>
      </c>
      <c r="J619" s="189">
        <f ca="1">IFERROR(__xludf.DUMMYFUNCTION("IMPORTRANGE(""https://docs.google.com/spreadsheets/d/1XL5vhW3sbDhbH9Cz0tuDiY8C3ctxq1tqvaCgkFb8cCA/edit?usp=sharing"",""บึงกาฬ!J514"")"),0)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IFERROR(__xludf.DUMMYFUNCTION("IMPORTRANGE(""https://docs.google.com/spreadsheets/d/1XL5vhW3sbDhbH9Cz0tuDiY8C3ctxq1tqvaCgkFb8cCA/edit?usp=sharing"",""บึงกาฬ!I515"")"),0)</f>
        <v>0</v>
      </c>
      <c r="J620" s="203">
        <f ca="1">IFERROR(__xludf.DUMMYFUNCTION("IMPORTRANGE(""https://docs.google.com/spreadsheets/d/1XL5vhW3sbDhbH9Cz0tuDiY8C3ctxq1tqvaCgkFb8cCA/edit?usp=sharing"",""บึงกาฬ!J515"")"),0)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IFERROR(__xludf.DUMMYFUNCTION("IMPORTRANGE(""https://docs.google.com/spreadsheets/d/1XL5vhW3sbDhbH9Cz0tuDiY8C3ctxq1tqvaCgkFb8cCA/edit?usp=sharing"",""บึงกาฬ!I516"")"),0)</f>
        <v>0</v>
      </c>
      <c r="J621" s="203">
        <f ca="1">IFERROR(__xludf.DUMMYFUNCTION("IMPORTRANGE(""https://docs.google.com/spreadsheets/d/1XL5vhW3sbDhbH9Cz0tuDiY8C3ctxq1tqvaCgkFb8cCA/edit?usp=sharing"",""บึงกาฬ!J516"")"),0)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IFERROR(__xludf.DUMMYFUNCTION("IMPORTRANGE(""https://docs.google.com/spreadsheets/d/1XL5vhW3sbDhbH9Cz0tuDiY8C3ctxq1tqvaCgkFb8cCA/edit?usp=sharing"",""บึงกาฬ!I517"")"),0)</f>
        <v>0</v>
      </c>
      <c r="J622" s="189">
        <f ca="1">IFERROR(__xludf.DUMMYFUNCTION("IMPORTRANGE(""https://docs.google.com/spreadsheets/d/1XL5vhW3sbDhbH9Cz0tuDiY8C3ctxq1tqvaCgkFb8cCA/edit?usp=sharing"",""บึงกาฬ!J517"")"),0)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IFERROR(__xludf.DUMMYFUNCTION("IMPORTRANGE(""https://docs.google.com/spreadsheets/d/1XL5vhW3sbDhbH9Cz0tuDiY8C3ctxq1tqvaCgkFb8cCA/edit?usp=sharing"",""บึงกาฬ!I518"")"),0)</f>
        <v>0</v>
      </c>
      <c r="J623" s="189">
        <f ca="1">IFERROR(__xludf.DUMMYFUNCTION("IMPORTRANGE(""https://docs.google.com/spreadsheets/d/1XL5vhW3sbDhbH9Cz0tuDiY8C3ctxq1tqvaCgkFb8cCA/edit?usp=sharing"",""บึงกาฬ!J518"")"),0)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IFERROR(__xludf.DUMMYFUNCTION("IMPORTRANGE(""https://docs.google.com/spreadsheets/d/1XL5vhW3sbDhbH9Cz0tuDiY8C3ctxq1tqvaCgkFb8cCA/edit?usp=sharing"",""บึงกาฬ!I519"")"),0)</f>
        <v>0</v>
      </c>
      <c r="J624" s="188">
        <f ca="1">IFERROR(__xludf.DUMMYFUNCTION("IMPORTRANGE(""https://docs.google.com/spreadsheets/d/1XL5vhW3sbDhbH9Cz0tuDiY8C3ctxq1tqvaCgkFb8cCA/edit?usp=sharing"",""บึงกาฬ!J519"")"),0)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IFERROR(__xludf.DUMMYFUNCTION("IMPORTRANGE(""https://docs.google.com/spreadsheets/d/1XL5vhW3sbDhbH9Cz0tuDiY8C3ctxq1tqvaCgkFb8cCA/edit?usp=sharing"",""บึงกาฬ!I520"")"),0)</f>
        <v>0</v>
      </c>
      <c r="J625" s="189">
        <f ca="1">IFERROR(__xludf.DUMMYFUNCTION("IMPORTRANGE(""https://docs.google.com/spreadsheets/d/1XL5vhW3sbDhbH9Cz0tuDiY8C3ctxq1tqvaCgkFb8cCA/edit?usp=sharing"",""บึงกาฬ!J520"")"),0)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IFERROR(__xludf.DUMMYFUNCTION("IMPORTRANGE(""https://docs.google.com/spreadsheets/d/1XL5vhW3sbDhbH9Cz0tuDiY8C3ctxq1tqvaCgkFb8cCA/edit?usp=sharing"",""บึงกาฬ!I521"")"),0)</f>
        <v>0</v>
      </c>
      <c r="J626" s="189">
        <f ca="1">IFERROR(__xludf.DUMMYFUNCTION("IMPORTRANGE(""https://docs.google.com/spreadsheets/d/1XL5vhW3sbDhbH9Cz0tuDiY8C3ctxq1tqvaCgkFb8cCA/edit?usp=sharing"",""บึงกาฬ!J521"")"),0)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IFERROR(__xludf.DUMMYFUNCTION("IMPORTRANGE(""https://docs.google.com/spreadsheets/d/1XL5vhW3sbDhbH9Cz0tuDiY8C3ctxq1tqvaCgkFb8cCA/edit?usp=sharing"",""บึงกาฬ!I523"")"),4326111.44)</f>
        <v>4326111.4400000004</v>
      </c>
      <c r="J628" s="341">
        <f ca="1">IFERROR(__xludf.DUMMYFUNCTION("IMPORTRANGE(""https://docs.google.com/spreadsheets/d/1XL5vhW3sbDhbH9Cz0tuDiY8C3ctxq1tqvaCgkFb8cCA/edit?usp=sharing"",""บึงกาฬ!J523"")"),783570.44)</f>
        <v>783570.44</v>
      </c>
      <c r="K628" s="342">
        <f t="shared" ref="K628:K635" ca="1" si="129">IF(I628&gt;0,J628*100/I628,0)</f>
        <v>18.112581029581612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IFERROR(__xludf.DUMMYFUNCTION("IMPORTRANGE(""https://docs.google.com/spreadsheets/d/1XL5vhW3sbDhbH9Cz0tuDiY8C3ctxq1tqvaCgkFb8cCA/edit?usp=sharing"",""บึงกาฬ!I524"")"),284)</f>
        <v>284</v>
      </c>
      <c r="J629" s="341">
        <f ca="1">IFERROR(__xludf.DUMMYFUNCTION("IMPORTRANGE(""https://docs.google.com/spreadsheets/d/1XL5vhW3sbDhbH9Cz0tuDiY8C3ctxq1tqvaCgkFb8cCA/edit?usp=sharing"",""บึงกาฬ!J524"")"),54)</f>
        <v>54</v>
      </c>
      <c r="K629" s="342">
        <f t="shared" ca="1" si="129"/>
        <v>19.014084507042252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IFERROR(__xludf.DUMMYFUNCTION("IMPORTRANGE(""https://docs.google.com/spreadsheets/d/1XL5vhW3sbDhbH9Cz0tuDiY8C3ctxq1tqvaCgkFb8cCA/edit?usp=sharing"",""บึงกาฬ!I525"")"),1444097.44)</f>
        <v>1444097.44</v>
      </c>
      <c r="J630" s="341">
        <f ca="1">IFERROR(__xludf.DUMMYFUNCTION("IMPORTRANGE(""https://docs.google.com/spreadsheets/d/1XL5vhW3sbDhbH9Cz0tuDiY8C3ctxq1tqvaCgkFb8cCA/edit?usp=sharing"",""บึงกาฬ!J525"")"),245304.23)</f>
        <v>245304.23</v>
      </c>
      <c r="K630" s="342">
        <f t="shared" ca="1" si="129"/>
        <v>16.986681314247051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IFERROR(__xludf.DUMMYFUNCTION("IMPORTRANGE(""https://docs.google.com/spreadsheets/d/1XL5vhW3sbDhbH9Cz0tuDiY8C3ctxq1tqvaCgkFb8cCA/edit?usp=sharing"",""บึงกาฬ!I526"")"),67)</f>
        <v>67</v>
      </c>
      <c r="J631" s="341">
        <f ca="1">IFERROR(__xludf.DUMMYFUNCTION("IMPORTRANGE(""https://docs.google.com/spreadsheets/d/1XL5vhW3sbDhbH9Cz0tuDiY8C3ctxq1tqvaCgkFb8cCA/edit?usp=sharing"",""บึงกาฬ!J526"")"),44)</f>
        <v>44</v>
      </c>
      <c r="K631" s="342">
        <f t="shared" ca="1" si="129"/>
        <v>65.671641791044777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IFERROR(__xludf.DUMMYFUNCTION("IMPORTRANGE(""https://docs.google.com/spreadsheets/d/1XL5vhW3sbDhbH9Cz0tuDiY8C3ctxq1tqvaCgkFb8cCA/edit?usp=sharing"",""บึงกาฬ!I527"")"),5947.5)</f>
        <v>5947.5</v>
      </c>
      <c r="J632" s="341">
        <f ca="1">IFERROR(__xludf.DUMMYFUNCTION("IMPORTRANGE(""https://docs.google.com/spreadsheets/d/1XL5vhW3sbDhbH9Cz0tuDiY8C3ctxq1tqvaCgkFb8cCA/edit?usp=sharing"",""บึงกาฬ!J527"")"),0)</f>
        <v>0</v>
      </c>
      <c r="K632" s="342">
        <f t="shared" ca="1" si="129"/>
        <v>0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IFERROR(__xludf.DUMMYFUNCTION("IMPORTRANGE(""https://docs.google.com/spreadsheets/d/1XL5vhW3sbDhbH9Cz0tuDiY8C3ctxq1tqvaCgkFb8cCA/edit?usp=sharing"",""บึงกาฬ!I528"")"),2)</f>
        <v>2</v>
      </c>
      <c r="J633" s="341">
        <f ca="1">IFERROR(__xludf.DUMMYFUNCTION("IMPORTRANGE(""https://docs.google.com/spreadsheets/d/1XL5vhW3sbDhbH9Cz0tuDiY8C3ctxq1tqvaCgkFb8cCA/edit?usp=sharing"",""บึงกาฬ!J528"")"),0)</f>
        <v>0</v>
      </c>
      <c r="K633" s="342">
        <f t="shared" ca="1" si="129"/>
        <v>0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IFERROR(__xludf.DUMMYFUNCTION("IMPORTRANGE(""https://docs.google.com/spreadsheets/d/1XL5vhW3sbDhbH9Cz0tuDiY8C3ctxq1tqvaCgkFb8cCA/edit?usp=sharing"",""บึงกาฬ!I529"")"),2400000)</f>
        <v>2400000</v>
      </c>
      <c r="J634" s="341">
        <f ca="1">IFERROR(__xludf.DUMMYFUNCTION("IMPORTRANGE(""https://docs.google.com/spreadsheets/d/1XL5vhW3sbDhbH9Cz0tuDiY8C3ctxq1tqvaCgkFb8cCA/edit?usp=sharing"",""บึงกาฬ!J529"")"),0)</f>
        <v>0</v>
      </c>
      <c r="K634" s="342">
        <f t="shared" ca="1" si="129"/>
        <v>0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IFERROR(__xludf.DUMMYFUNCTION("IMPORTRANGE(""https://docs.google.com/spreadsheets/d/1XL5vhW3sbDhbH9Cz0tuDiY8C3ctxq1tqvaCgkFb8cCA/edit?usp=sharing"",""บึงกาฬ!I530"")"),60)</f>
        <v>60</v>
      </c>
      <c r="J635" s="504">
        <f ca="1">IFERROR(__xludf.DUMMYFUNCTION("IMPORTRANGE(""https://docs.google.com/spreadsheets/d/1XL5vhW3sbDhbH9Cz0tuDiY8C3ctxq1tqvaCgkFb8cCA/edit?usp=sharing"",""บึงกาฬ!J530"")"),0)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49" t="s">
        <v>237</v>
      </c>
      <c r="F636" s="549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12" sqref="J12"/>
      <selection pane="bottomLeft" activeCell="G565" sqref="G565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56" t="s">
        <v>0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</row>
    <row r="2" spans="1:16" ht="18" customHeight="1" x14ac:dyDescent="0.35">
      <c r="A2" s="556" t="s">
        <v>250</v>
      </c>
      <c r="B2" s="556"/>
      <c r="C2" s="556"/>
      <c r="D2" s="556"/>
      <c r="E2" s="556"/>
      <c r="F2" s="556"/>
      <c r="G2" s="556"/>
      <c r="H2" s="556"/>
      <c r="I2" s="556"/>
      <c r="J2" s="556"/>
      <c r="K2" s="556"/>
      <c r="L2" s="556"/>
      <c r="M2" s="556"/>
      <c r="N2" s="556"/>
      <c r="O2" s="556"/>
      <c r="P2" s="556"/>
    </row>
    <row r="3" spans="1:16" ht="18" customHeight="1" x14ac:dyDescent="0.35">
      <c r="A3" s="556" t="s">
        <v>278</v>
      </c>
      <c r="B3" s="556"/>
      <c r="C3" s="556"/>
      <c r="D3" s="556"/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6"/>
      <c r="P3" s="55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79" t="s">
        <v>2</v>
      </c>
      <c r="B5" s="565"/>
      <c r="C5" s="565"/>
      <c r="D5" s="565"/>
      <c r="E5" s="565"/>
      <c r="F5" s="565"/>
      <c r="G5" s="566"/>
      <c r="H5" s="578" t="s">
        <v>3</v>
      </c>
      <c r="I5" s="559" t="s">
        <v>4</v>
      </c>
      <c r="J5" s="560"/>
      <c r="K5" s="561"/>
      <c r="L5" s="562" t="s">
        <v>5</v>
      </c>
      <c r="M5" s="561"/>
      <c r="N5" s="563" t="s">
        <v>6</v>
      </c>
      <c r="O5" s="560"/>
      <c r="P5" s="561"/>
    </row>
    <row r="6" spans="1:16" ht="21.75" customHeight="1" x14ac:dyDescent="0.35">
      <c r="A6" s="567"/>
      <c r="B6" s="568"/>
      <c r="C6" s="568"/>
      <c r="D6" s="568"/>
      <c r="E6" s="568"/>
      <c r="F6" s="568"/>
      <c r="G6" s="569"/>
      <c r="H6" s="55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80" t="s">
        <v>15</v>
      </c>
      <c r="B7" s="560"/>
      <c r="C7" s="560"/>
      <c r="D7" s="560"/>
      <c r="E7" s="560"/>
      <c r="F7" s="560"/>
      <c r="G7" s="561"/>
      <c r="H7" s="512"/>
      <c r="I7" s="513"/>
      <c r="J7" s="513"/>
      <c r="K7" s="514"/>
      <c r="L7" s="515"/>
      <c r="M7" s="514"/>
      <c r="N7" s="515"/>
      <c r="O7" s="516"/>
      <c r="P7" s="516"/>
    </row>
    <row r="8" spans="1:16" ht="21.75" customHeight="1" x14ac:dyDescent="0.45">
      <c r="A8" s="17"/>
      <c r="B8" s="18"/>
      <c r="C8" s="19" t="s">
        <v>16</v>
      </c>
      <c r="D8" s="571" t="s">
        <v>17</v>
      </c>
      <c r="E8" s="555"/>
      <c r="F8" s="555"/>
      <c r="G8" s="555"/>
      <c r="H8" s="20" t="s">
        <v>12</v>
      </c>
      <c r="I8" s="21"/>
      <c r="J8" s="21"/>
      <c r="K8" s="22"/>
      <c r="L8" s="23">
        <f t="shared" ref="L8:N8" ca="1" si="0">L9+L10</f>
        <v>9234062</v>
      </c>
      <c r="M8" s="23">
        <f t="shared" ca="1" si="0"/>
        <v>4253242</v>
      </c>
      <c r="N8" s="23">
        <f t="shared" ca="1" si="0"/>
        <v>3738011.9899999993</v>
      </c>
      <c r="O8" s="22">
        <f t="shared" ref="O8:O16" ca="1" si="1">IF(L8&gt;0,N8*100/L8,0)</f>
        <v>40.480689754952905</v>
      </c>
      <c r="P8" s="22">
        <f t="shared" ref="P8:P16" ca="1" si="2">IF(M8&gt;0,N8*100/M8,0)</f>
        <v>87.886181646847263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9234062</v>
      </c>
      <c r="M10" s="30">
        <f t="shared" ca="1" si="4"/>
        <v>4253242</v>
      </c>
      <c r="N10" s="30">
        <f t="shared" ca="1" si="4"/>
        <v>3738011.9899999993</v>
      </c>
      <c r="O10" s="29">
        <f t="shared" ca="1" si="1"/>
        <v>40.480689754952905</v>
      </c>
      <c r="P10" s="29">
        <f t="shared" ca="1" si="2"/>
        <v>87.886181646847263</v>
      </c>
    </row>
    <row r="11" spans="1:16" ht="21.75" customHeight="1" x14ac:dyDescent="0.45">
      <c r="A11" s="31"/>
      <c r="B11" s="32"/>
      <c r="C11" s="33" t="s">
        <v>16</v>
      </c>
      <c r="D11" s="572" t="s">
        <v>20</v>
      </c>
      <c r="E11" s="553"/>
      <c r="F11" s="55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8375162</v>
      </c>
      <c r="M12" s="38">
        <f t="shared" ca="1" si="6"/>
        <v>3394342</v>
      </c>
      <c r="N12" s="38">
        <f t="shared" ca="1" si="6"/>
        <v>2879111.9899999993</v>
      </c>
      <c r="O12" s="38">
        <f t="shared" ca="1" si="1"/>
        <v>34.376791636985644</v>
      </c>
      <c r="P12" s="38">
        <f t="shared" ca="1" si="2"/>
        <v>84.820916395578266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2402800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5972362</v>
      </c>
      <c r="M14" s="38">
        <f t="shared" si="8"/>
        <v>0</v>
      </c>
      <c r="N14" s="38">
        <f t="shared" ca="1" si="8"/>
        <v>667946.50999999908</v>
      </c>
      <c r="O14" s="38">
        <f t="shared" ca="1" si="1"/>
        <v>11.183958875902015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2" t="s">
        <v>23</v>
      </c>
      <c r="E15" s="55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858900</v>
      </c>
      <c r="M16" s="38">
        <f t="shared" ca="1" si="10"/>
        <v>858900</v>
      </c>
      <c r="N16" s="38">
        <f t="shared" ca="1" si="10"/>
        <v>858900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80" t="s">
        <v>24</v>
      </c>
      <c r="B17" s="560"/>
      <c r="C17" s="560"/>
      <c r="D17" s="560"/>
      <c r="E17" s="560"/>
      <c r="F17" s="560"/>
      <c r="G17" s="561"/>
      <c r="H17" s="512"/>
      <c r="I17" s="513"/>
      <c r="J17" s="513"/>
      <c r="K17" s="514"/>
      <c r="L17" s="515"/>
      <c r="M17" s="514"/>
      <c r="N17" s="515"/>
      <c r="O17" s="516"/>
      <c r="P17" s="516"/>
    </row>
    <row r="18" spans="1:16" ht="21.75" customHeight="1" x14ac:dyDescent="0.45">
      <c r="A18" s="17"/>
      <c r="B18" s="18"/>
      <c r="C18" s="19" t="s">
        <v>16</v>
      </c>
      <c r="D18" s="571" t="s">
        <v>17</v>
      </c>
      <c r="E18" s="555"/>
      <c r="F18" s="555"/>
      <c r="G18" s="555"/>
      <c r="H18" s="20" t="s">
        <v>12</v>
      </c>
      <c r="I18" s="21"/>
      <c r="J18" s="21"/>
      <c r="K18" s="22"/>
      <c r="L18" s="23">
        <f t="shared" ref="L18:N18" ca="1" si="11">L19+L20</f>
        <v>5319865</v>
      </c>
      <c r="M18" s="23">
        <f t="shared" ca="1" si="11"/>
        <v>4253242</v>
      </c>
      <c r="N18" s="23">
        <f t="shared" ca="1" si="11"/>
        <v>3070065.48</v>
      </c>
      <c r="O18" s="22">
        <f t="shared" ref="O18:O20" ca="1" si="12">IF(L18&gt;0,N18*100/L18,0)</f>
        <v>57.709462176201839</v>
      </c>
      <c r="P18" s="22">
        <f t="shared" ref="P18:P26" ca="1" si="13">IF(M18&gt;0,N18*100/M18,0)</f>
        <v>72.181772868790446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5319865</v>
      </c>
      <c r="M20" s="30">
        <f t="shared" ca="1" si="15"/>
        <v>4253242</v>
      </c>
      <c r="N20" s="30">
        <f t="shared" ca="1" si="15"/>
        <v>3070065.48</v>
      </c>
      <c r="O20" s="29">
        <f t="shared" ca="1" si="12"/>
        <v>57.709462176201839</v>
      </c>
      <c r="P20" s="29">
        <f t="shared" ca="1" si="13"/>
        <v>72.181772868790446</v>
      </c>
    </row>
    <row r="21" spans="1:16" ht="21.75" customHeight="1" x14ac:dyDescent="0.45">
      <c r="A21" s="31"/>
      <c r="B21" s="32"/>
      <c r="C21" s="33" t="s">
        <v>16</v>
      </c>
      <c r="D21" s="572" t="s">
        <v>20</v>
      </c>
      <c r="E21" s="553"/>
      <c r="F21" s="55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4460965</v>
      </c>
      <c r="M22" s="41">
        <f t="shared" ca="1" si="18"/>
        <v>3394342</v>
      </c>
      <c r="N22" s="38">
        <f t="shared" ca="1" si="18"/>
        <v>2211165.48</v>
      </c>
      <c r="O22" s="38">
        <f t="shared" ca="1" si="17"/>
        <v>49.566976651912761</v>
      </c>
      <c r="P22" s="38">
        <f t="shared" ca="1" si="13"/>
        <v>65.142683913406486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2402800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2058165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2" t="s">
        <v>23</v>
      </c>
      <c r="E25" s="55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858900</v>
      </c>
      <c r="M26" s="49">
        <f t="shared" ca="1" si="22"/>
        <v>858900</v>
      </c>
      <c r="N26" s="49">
        <f t="shared" ca="1" si="22"/>
        <v>858900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80" t="s">
        <v>25</v>
      </c>
      <c r="B27" s="560"/>
      <c r="C27" s="560"/>
      <c r="D27" s="560"/>
      <c r="E27" s="560"/>
      <c r="F27" s="560"/>
      <c r="G27" s="561"/>
      <c r="H27" s="512"/>
      <c r="I27" s="513"/>
      <c r="J27" s="513"/>
      <c r="K27" s="514"/>
      <c r="L27" s="515"/>
      <c r="M27" s="514"/>
      <c r="N27" s="515"/>
      <c r="O27" s="516"/>
      <c r="P27" s="516"/>
    </row>
    <row r="28" spans="1:16" ht="21.75" customHeight="1" x14ac:dyDescent="0.45">
      <c r="A28" s="17"/>
      <c r="B28" s="18"/>
      <c r="C28" s="19" t="s">
        <v>16</v>
      </c>
      <c r="D28" s="571" t="s">
        <v>17</v>
      </c>
      <c r="E28" s="555"/>
      <c r="F28" s="555"/>
      <c r="G28" s="555"/>
      <c r="H28" s="20" t="s">
        <v>12</v>
      </c>
      <c r="I28" s="21"/>
      <c r="J28" s="21"/>
      <c r="K28" s="22"/>
      <c r="L28" s="23">
        <f t="shared" ref="L28:N28" ca="1" si="23">L29+L30</f>
        <v>3914197</v>
      </c>
      <c r="M28" s="23">
        <f t="shared" si="23"/>
        <v>0</v>
      </c>
      <c r="N28" s="23">
        <f t="shared" ca="1" si="23"/>
        <v>667946.50999999908</v>
      </c>
      <c r="O28" s="22">
        <f t="shared" ref="O28:O30" ca="1" si="24">IF(L28&gt;0,N28*100/L28,0)</f>
        <v>17.064713656466424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3914197</v>
      </c>
      <c r="M30" s="30">
        <f t="shared" si="27"/>
        <v>0</v>
      </c>
      <c r="N30" s="30">
        <f t="shared" ca="1" si="27"/>
        <v>667946.50999999908</v>
      </c>
      <c r="O30" s="29">
        <f t="shared" ca="1" si="24"/>
        <v>17.064713656466424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2" t="s">
        <v>20</v>
      </c>
      <c r="E31" s="553"/>
      <c r="F31" s="55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3914197</v>
      </c>
      <c r="M32" s="38">
        <f t="shared" si="30"/>
        <v>0</v>
      </c>
      <c r="N32" s="38">
        <f t="shared" ca="1" si="30"/>
        <v>667946.50999999908</v>
      </c>
      <c r="O32" s="38">
        <f t="shared" ca="1" si="29"/>
        <v>17.064713656466424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3914197</v>
      </c>
      <c r="M34" s="38">
        <f t="shared" si="32"/>
        <v>0</v>
      </c>
      <c r="N34" s="38">
        <f t="shared" ca="1" si="32"/>
        <v>667946.50999999908</v>
      </c>
      <c r="O34" s="38">
        <f t="shared" ca="1" si="29"/>
        <v>17.064713656466424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2" t="s">
        <v>23</v>
      </c>
      <c r="E35" s="55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5319865</v>
      </c>
      <c r="M37" s="54">
        <f t="shared" ca="1" si="33"/>
        <v>4253242</v>
      </c>
      <c r="N37" s="54">
        <f t="shared" ca="1" si="33"/>
        <v>3070065.48</v>
      </c>
      <c r="O37" s="55">
        <f t="shared" ca="1" si="29"/>
        <v>57.709462176201839</v>
      </c>
      <c r="P37" s="55">
        <f t="shared" ca="1" si="25"/>
        <v>72.181772868790446</v>
      </c>
    </row>
    <row r="38" spans="1:16" ht="21.75" customHeight="1" x14ac:dyDescent="0.45">
      <c r="A38" s="581" t="s">
        <v>27</v>
      </c>
      <c r="B38" s="560"/>
      <c r="C38" s="560"/>
      <c r="D38" s="560"/>
      <c r="E38" s="560"/>
      <c r="F38" s="560"/>
      <c r="G38" s="561"/>
      <c r="H38" s="517"/>
      <c r="I38" s="518"/>
      <c r="J38" s="518"/>
      <c r="K38" s="519"/>
      <c r="L38" s="520"/>
      <c r="M38" s="520"/>
      <c r="N38" s="520"/>
      <c r="O38" s="520"/>
      <c r="P38" s="520"/>
    </row>
    <row r="39" spans="1:16" ht="21.75" customHeight="1" x14ac:dyDescent="0.45">
      <c r="A39" s="521"/>
      <c r="B39" s="582" t="s">
        <v>28</v>
      </c>
      <c r="C39" s="555"/>
      <c r="D39" s="555"/>
      <c r="E39" s="555"/>
      <c r="F39" s="555"/>
      <c r="G39" s="555"/>
      <c r="H39" s="522"/>
      <c r="I39" s="523"/>
      <c r="J39" s="523"/>
      <c r="K39" s="524"/>
      <c r="L39" s="525"/>
      <c r="M39" s="525"/>
      <c r="N39" s="525"/>
      <c r="O39" s="524"/>
      <c r="P39" s="524"/>
    </row>
    <row r="40" spans="1:16" ht="21.75" customHeight="1" x14ac:dyDescent="0.45">
      <c r="A40" s="526"/>
      <c r="B40" s="527" t="s">
        <v>29</v>
      </c>
      <c r="C40" s="528"/>
      <c r="D40" s="528"/>
      <c r="E40" s="528"/>
      <c r="F40" s="528"/>
      <c r="G40" s="528"/>
      <c r="H40" s="529"/>
      <c r="I40" s="530"/>
      <c r="J40" s="530"/>
      <c r="K40" s="531"/>
      <c r="L40" s="532"/>
      <c r="M40" s="532"/>
      <c r="N40" s="532"/>
      <c r="O40" s="531"/>
      <c r="P40" s="531"/>
    </row>
    <row r="41" spans="1:16" ht="21.75" customHeight="1" x14ac:dyDescent="0.45">
      <c r="A41" s="72"/>
      <c r="B41" s="73"/>
      <c r="C41" s="74" t="s">
        <v>16</v>
      </c>
      <c r="D41" s="575" t="s">
        <v>17</v>
      </c>
      <c r="E41" s="553"/>
      <c r="F41" s="553"/>
      <c r="G41" s="553"/>
      <c r="H41" s="75" t="s">
        <v>12</v>
      </c>
      <c r="I41" s="76"/>
      <c r="J41" s="76"/>
      <c r="K41" s="77"/>
      <c r="L41" s="78">
        <f t="shared" ref="L41:N41" ca="1" si="34">L42+L43</f>
        <v>1577600</v>
      </c>
      <c r="M41" s="78">
        <f t="shared" ca="1" si="34"/>
        <v>1396600</v>
      </c>
      <c r="N41" s="78">
        <f t="shared" ca="1" si="34"/>
        <v>1219414.46</v>
      </c>
      <c r="O41" s="77">
        <f t="shared" ref="O41:O43" ca="1" si="35">IF(L41&gt;0,N41*100/L41,0)</f>
        <v>77.295541328600407</v>
      </c>
      <c r="P41" s="77">
        <f t="shared" ref="P41:P43" ca="1" si="36">IF(M41&gt;0,N41*100/M41,0)</f>
        <v>87.313078905914367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1577600</v>
      </c>
      <c r="M43" s="78">
        <f t="shared" ca="1" si="38"/>
        <v>1396600</v>
      </c>
      <c r="N43" s="78">
        <f t="shared" ca="1" si="38"/>
        <v>1219414.46</v>
      </c>
      <c r="O43" s="77">
        <f t="shared" ca="1" si="35"/>
        <v>77.295541328600407</v>
      </c>
      <c r="P43" s="77">
        <f t="shared" ca="1" si="36"/>
        <v>87.313078905914367</v>
      </c>
    </row>
    <row r="44" spans="1:16" ht="21.75" customHeight="1" x14ac:dyDescent="0.45">
      <c r="A44" s="79"/>
      <c r="B44" s="80"/>
      <c r="C44" s="81" t="s">
        <v>16</v>
      </c>
      <c r="D44" s="552" t="s">
        <v>20</v>
      </c>
      <c r="E44" s="553"/>
      <c r="F44" s="55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724100</v>
      </c>
      <c r="M45" s="533">
        <f ca="1">IFERROR(__xludf.DUMMYFUNCTION("IMPORTRANGE(""https://docs.google.com/spreadsheets/d/1Yj_ptqi66GCucihVvJfMjLAmec39IyEx_6qawtMGysU/edit?usp=sharing"",""สบก!Q44"")"),543100)</f>
        <v>543100</v>
      </c>
      <c r="N45" s="533">
        <f ca="1">IFERROR(__xludf.DUMMYFUNCTION("IMPORTRANGE(""https://docs.google.com/spreadsheets/d/1Yj_ptqi66GCucihVvJfMjLAmec39IyEx_6qawtMGysU/edit?usp=sharing"",""สบก!R44"")"),365914.46)</f>
        <v>365914.46</v>
      </c>
      <c r="O45" s="534">
        <f ca="1">IF(L45&gt;0,N45*100/L45,0)</f>
        <v>50.533691479077476</v>
      </c>
      <c r="P45" s="534">
        <f ca="1">IF(M45&gt;0,N45*100/M45,0)</f>
        <v>67.375153747007914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533">
        <f ca="1">IFERROR(__xludf.DUMMYFUNCTION("IMPORTRANGE(""https://docs.google.com/spreadsheets/d/1Yj_ptqi66GCucihVvJfMjLAmec39IyEx_6qawtMGysU/edit?usp=sharing"",""สบก!M44"")"),724100)</f>
        <v>724100</v>
      </c>
      <c r="M46" s="535"/>
      <c r="N46" s="38"/>
      <c r="O46" s="534"/>
      <c r="P46" s="534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533">
        <f ca="1">IFERROR(__xludf.DUMMYFUNCTION("IMPORTRANGE(""https://docs.google.com/spreadsheets/d/1Yj_ptqi66GCucihVvJfMjLAmec39IyEx_6qawtMGysU/edit?usp=sharing"",""สบก!N44"")"),0)</f>
        <v>0</v>
      </c>
      <c r="M47" s="535"/>
      <c r="N47" s="38"/>
      <c r="O47" s="534"/>
      <c r="P47" s="534"/>
    </row>
    <row r="48" spans="1:16" ht="21.75" customHeight="1" x14ac:dyDescent="0.45">
      <c r="A48" s="79"/>
      <c r="B48" s="80"/>
      <c r="C48" s="81" t="s">
        <v>16</v>
      </c>
      <c r="D48" s="552" t="s">
        <v>23</v>
      </c>
      <c r="E48" s="55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535"/>
      <c r="N48" s="41"/>
      <c r="O48" s="535"/>
      <c r="P48" s="535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33">
        <f ca="1">IFERROR(__xludf.DUMMYFUNCTION("IMPORTRANGE(""https://docs.google.com/spreadsheets/d/1Yj_ptqi66GCucihVvJfMjLAmec39IyEx_6qawtMGysU/edit?usp=sharing"",""สบก!O44"")"),853500)</f>
        <v>853500</v>
      </c>
      <c r="M49" s="536">
        <f ca="1">L49</f>
        <v>853500</v>
      </c>
      <c r="N49" s="533">
        <f ca="1">IFERROR(__xludf.DUMMYFUNCTION("IMPORTRANGE(""https://docs.google.com/spreadsheets/d/1Yj_ptqi66GCucihVvJfMjLAmec39IyEx_6qawtMGysU/edit?usp=sharing"",""สบก!S44"")"),853500)</f>
        <v>853500</v>
      </c>
      <c r="O49" s="536">
        <f ca="1">IF(L49&gt;0,N49*100/L49,0)</f>
        <v>100</v>
      </c>
      <c r="P49" s="536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76" t="s">
        <v>32</v>
      </c>
      <c r="C52" s="553"/>
      <c r="D52" s="553"/>
      <c r="E52" s="553"/>
      <c r="F52" s="553"/>
      <c r="G52" s="55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77" t="s">
        <v>17</v>
      </c>
      <c r="E53" s="553"/>
      <c r="F53" s="553"/>
      <c r="G53" s="553"/>
      <c r="H53" s="118" t="s">
        <v>12</v>
      </c>
      <c r="I53" s="119"/>
      <c r="J53" s="119"/>
      <c r="K53" s="120"/>
      <c r="L53" s="121">
        <f t="shared" ref="L53:N53" ca="1" si="39">L54+L55</f>
        <v>782400</v>
      </c>
      <c r="M53" s="121">
        <f t="shared" ca="1" si="39"/>
        <v>600572</v>
      </c>
      <c r="N53" s="121">
        <f t="shared" ca="1" si="39"/>
        <v>439699</v>
      </c>
      <c r="O53" s="120">
        <f t="shared" ref="O53:O55" ca="1" si="40">IF(L53&gt;0,N53*100/L53,0)</f>
        <v>56.198747443762784</v>
      </c>
      <c r="P53" s="120">
        <f t="shared" ref="P53:P55" ca="1" si="41">IF(M53&gt;0,N53*100/M53,0)</f>
        <v>73.213369920675618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782400</v>
      </c>
      <c r="M55" s="121">
        <f t="shared" ca="1" si="43"/>
        <v>600572</v>
      </c>
      <c r="N55" s="121">
        <f t="shared" ca="1" si="43"/>
        <v>439699</v>
      </c>
      <c r="O55" s="120">
        <f t="shared" ca="1" si="40"/>
        <v>56.198747443762784</v>
      </c>
      <c r="P55" s="120">
        <f t="shared" ca="1" si="41"/>
        <v>73.213369920675618</v>
      </c>
    </row>
    <row r="56" spans="1:16" ht="21.75" customHeight="1" x14ac:dyDescent="0.45">
      <c r="A56" s="79"/>
      <c r="B56" s="80"/>
      <c r="C56" s="81" t="s">
        <v>16</v>
      </c>
      <c r="D56" s="552" t="s">
        <v>20</v>
      </c>
      <c r="E56" s="553"/>
      <c r="F56" s="55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782400</v>
      </c>
      <c r="M57" s="533">
        <f ca="1">IFERROR(__xludf.DUMMYFUNCTION("IMPORTRANGE(""https://docs.google.com/spreadsheets/d/1Yj_ptqi66GCucihVvJfMjLAmec39IyEx_6qawtMGysU/edit?usp=sharing"",""สบก!Z44"")"),600572)</f>
        <v>600572</v>
      </c>
      <c r="N57" s="533">
        <f ca="1">IFERROR(__xludf.DUMMYFUNCTION("IMPORTRANGE(""https://docs.google.com/spreadsheets/d/1Yj_ptqi66GCucihVvJfMjLAmec39IyEx_6qawtMGysU/edit?usp=sharing"",""สบก!AA44"")"),439699)</f>
        <v>439699</v>
      </c>
      <c r="O57" s="534">
        <f ca="1">IF(L57&gt;0,N57*100/L57,0)</f>
        <v>56.198747443762784</v>
      </c>
      <c r="P57" s="534">
        <f ca="1">IF(M57&gt;0,N57*100/M57,0)</f>
        <v>73.213369920675618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533">
        <f ca="1">IFERROR(__xludf.DUMMYFUNCTION("IMPORTRANGE(""https://docs.google.com/spreadsheets/d/1Yj_ptqi66GCucihVvJfMjLAmec39IyEx_6qawtMGysU/edit?usp=sharing"",""สบก!V44"")"),782400)</f>
        <v>782400</v>
      </c>
      <c r="M58" s="535"/>
      <c r="N58" s="38"/>
      <c r="O58" s="534"/>
      <c r="P58" s="534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533">
        <f ca="1">IFERROR(__xludf.DUMMYFUNCTION("IMPORTRANGE(""https://docs.google.com/spreadsheets/d/1Yj_ptqi66GCucihVvJfMjLAmec39IyEx_6qawtMGysU/edit?usp=sharing"",""สบก!W44"")"),0)</f>
        <v>0</v>
      </c>
      <c r="M59" s="535"/>
      <c r="N59" s="38"/>
      <c r="O59" s="534"/>
      <c r="P59" s="534"/>
    </row>
    <row r="60" spans="1:16" ht="21.75" customHeight="1" x14ac:dyDescent="0.45">
      <c r="A60" s="79"/>
      <c r="B60" s="80"/>
      <c r="C60" s="81" t="s">
        <v>16</v>
      </c>
      <c r="D60" s="552" t="s">
        <v>23</v>
      </c>
      <c r="E60" s="55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535"/>
      <c r="N60" s="41"/>
      <c r="O60" s="535"/>
      <c r="P60" s="535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33">
        <f ca="1">IFERROR(__xludf.DUMMYFUNCTION("IMPORTRANGE(""https://docs.google.com/spreadsheets/d/1Yj_ptqi66GCucihVvJfMjLAmec39IyEx_6qawtMGysU/edit?usp=sharing"",""สบก!X44"")"),0)</f>
        <v>0</v>
      </c>
      <c r="M61" s="536"/>
      <c r="N61" s="533">
        <f ca="1">IFERROR(__xludf.DUMMYFUNCTION("IMPORTRANGE(""https://docs.google.com/spreadsheets/d/1Yj_ptqi66GCucihVvJfMjLAmec39IyEx_6qawtMGysU/edit?usp=sharing"",""สบก!AB44"")"),0)</f>
        <v>0</v>
      </c>
      <c r="O61" s="536">
        <f ca="1">IF(L61&gt;0,N61*100/L61,0)</f>
        <v>0</v>
      </c>
      <c r="P61" s="536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IFERROR(__xludf.DUMMYFUNCTION("IMPORTRANGE(""https://docs.google.com/spreadsheets/d/1XL5vhW3sbDhbH9Cz0tuDiY8C3ctxq1tqvaCgkFb8cCA/edit?usp=sharing"",""บุรีรัมย์!I9"")"),1)</f>
        <v>1</v>
      </c>
      <c r="J64" s="142">
        <f ca="1">IFERROR(__xludf.DUMMYFUNCTION("IMPORTRANGE(""https://docs.google.com/spreadsheets/d/1XL5vhW3sbDhbH9Cz0tuDiY8C3ctxq1tqvaCgkFb8cCA/edit?usp=sharing"",""บุรีรัมย์!J9"")"),1)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IFERROR(__xludf.DUMMYFUNCTION("IMPORTRANGE(""https://docs.google.com/spreadsheets/d/1XL5vhW3sbDhbH9Cz0tuDiY8C3ctxq1tqvaCgkFb8cCA/edit?usp=sharing"",""บุรีรัมย์!I10"")"),63)</f>
        <v>63</v>
      </c>
      <c r="J65" s="142">
        <f ca="1">IFERROR(__xludf.DUMMYFUNCTION("IMPORTRANGE(""https://docs.google.com/spreadsheets/d/1XL5vhW3sbDhbH9Cz0tuDiY8C3ctxq1tqvaCgkFb8cCA/edit?usp=sharing"",""บุรีรัมย์!J10"")"),63)</f>
        <v>63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54" t="s">
        <v>17</v>
      </c>
      <c r="E66" s="555"/>
      <c r="F66" s="555"/>
      <c r="G66" s="555"/>
      <c r="H66" s="149" t="s">
        <v>12</v>
      </c>
      <c r="I66" s="150"/>
      <c r="J66" s="150"/>
      <c r="K66" s="151"/>
      <c r="L66" s="152">
        <f t="shared" ref="L66:N66" ca="1" si="45">L67+L68</f>
        <v>753100</v>
      </c>
      <c r="M66" s="152">
        <f t="shared" ca="1" si="45"/>
        <v>633320</v>
      </c>
      <c r="N66" s="152">
        <f t="shared" ca="1" si="45"/>
        <v>325223.19</v>
      </c>
      <c r="O66" s="151">
        <f t="shared" ref="O66:O68" ca="1" si="46">IF(L66&gt;0,N66*100/L66,0)</f>
        <v>43.184595671225601</v>
      </c>
      <c r="P66" s="151">
        <f t="shared" ref="P66:P68" ca="1" si="47">IF(M66&gt;0,N66*100/M66,0)</f>
        <v>51.352111097075728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753100</v>
      </c>
      <c r="M68" s="157">
        <f t="shared" ca="1" si="49"/>
        <v>633320</v>
      </c>
      <c r="N68" s="157">
        <f t="shared" ca="1" si="49"/>
        <v>325223.19</v>
      </c>
      <c r="O68" s="156">
        <f t="shared" ca="1" si="46"/>
        <v>43.184595671225601</v>
      </c>
      <c r="P68" s="156">
        <f t="shared" ca="1" si="47"/>
        <v>51.352111097075728</v>
      </c>
    </row>
    <row r="69" spans="1:16" ht="21.75" customHeight="1" x14ac:dyDescent="0.45">
      <c r="A69" s="158"/>
      <c r="B69" s="159"/>
      <c r="C69" s="159" t="s">
        <v>16</v>
      </c>
      <c r="D69" s="552" t="s">
        <v>20</v>
      </c>
      <c r="E69" s="553"/>
      <c r="F69" s="55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753100</v>
      </c>
      <c r="M70" s="537">
        <f ca="1">IFERROR(__xludf.DUMMYFUNCTION("IMPORTRANGE(""https://docs.google.com/spreadsheets/d/1Yj_ptqi66GCucihVvJfMjLAmec39IyEx_6qawtMGysU/edit?usp=sharing"",""สบก!AI44"")"),633320)</f>
        <v>633320</v>
      </c>
      <c r="N70" s="538">
        <f ca="1">IFERROR(__xludf.DUMMYFUNCTION("IMPORTRANGE(""https://docs.google.com/spreadsheets/d/1Yj_ptqi66GCucihVvJfMjLAmec39IyEx_6qawtMGysU/edit?usp=sharing"",""สบก!AJ44"")"),325223.19)</f>
        <v>325223.19</v>
      </c>
      <c r="O70" s="169">
        <f ca="1">IF(L70&gt;0,N70*100/L70,0)</f>
        <v>43.184595671225601</v>
      </c>
      <c r="P70" s="169">
        <f ca="1">IF(M70&gt;0,N70*100/M70,0)</f>
        <v>51.352111097075728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537">
        <f ca="1">IFERROR(__xludf.DUMMYFUNCTION("IMPORTRANGE(""https://docs.google.com/spreadsheets/d/1Yj_ptqi66GCucihVvJfMjLAmec39IyEx_6qawtMGysU/edit?usp=sharing"",""สบก!AE44"")"),189500)</f>
        <v>189500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537">
        <f ca="1">IFERROR(__xludf.DUMMYFUNCTION("IMPORTRANGE(""https://docs.google.com/spreadsheets/d/1Yj_ptqi66GCucihVvJfMjLAmec39IyEx_6qawtMGysU/edit?usp=sharing"",""สบก!AF44"")"),563600)</f>
        <v>563600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52" t="s">
        <v>23</v>
      </c>
      <c r="E73" s="553"/>
      <c r="F73" s="89"/>
      <c r="G73" s="82" t="s">
        <v>18</v>
      </c>
      <c r="H73" s="172" t="s">
        <v>12</v>
      </c>
      <c r="I73" s="84"/>
      <c r="J73" s="84"/>
      <c r="K73" s="85"/>
      <c r="L73" s="535">
        <v>0</v>
      </c>
      <c r="M73" s="535"/>
      <c r="N73" s="41"/>
      <c r="O73" s="535"/>
      <c r="P73" s="535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533">
        <f ca="1">IFERROR(__xludf.DUMMYFUNCTION("IMPORTRANGE(""https://docs.google.com/spreadsheets/d/1Yj_ptqi66GCucihVvJfMjLAmec39IyEx_6qawtMGysU/edit?usp=sharing"",""สบก!AG44"")"),0)</f>
        <v>0</v>
      </c>
      <c r="M74" s="536"/>
      <c r="N74" s="533">
        <f ca="1">IFERROR(__xludf.DUMMYFUNCTION("IMPORTRANGE(""https://docs.google.com/spreadsheets/d/1Yj_ptqi66GCucihVvJfMjLAmec39IyEx_6qawtMGysU/edit?usp=sharing"",""สบก!AK44"")"),0)</f>
        <v>0</v>
      </c>
      <c r="O74" s="536">
        <f ca="1">IF(L74&gt;0,N74*100/L74,0)</f>
        <v>0</v>
      </c>
      <c r="P74" s="536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IFERROR(__xludf.DUMMYFUNCTION("IMPORTRANGE(""https://docs.google.com/spreadsheets/d/1XL5vhW3sbDhbH9Cz0tuDiY8C3ctxq1tqvaCgkFb8cCA/edit?usp=sharing"",""บุรีรัมย์!J16"")"),0)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IFERROR(__xludf.DUMMYFUNCTION("IMPORTRANGE(""https://docs.google.com/spreadsheets/d/1XL5vhW3sbDhbH9Cz0tuDiY8C3ctxq1tqvaCgkFb8cCA/edit?usp=sharing"",""บุรีรัมย์!J17"")"),1)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IFERROR(__xludf.DUMMYFUNCTION("IMPORTRANGE(""https://docs.google.com/spreadsheets/d/1XL5vhW3sbDhbH9Cz0tuDiY8C3ctxq1tqvaCgkFb8cCA/edit?usp=sharing"",""บุรีรัมย์!J18"")"),1)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IFERROR(__xludf.DUMMYFUNCTION("IMPORTRANGE(""https://docs.google.com/spreadsheets/d/1XL5vhW3sbDhbH9Cz0tuDiY8C3ctxq1tqvaCgkFb8cCA/edit?usp=sharing"",""บุรีรัมย์!J19"")"),1)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IFERROR(__xludf.DUMMYFUNCTION("IMPORTRANGE(""https://docs.google.com/spreadsheets/d/1XL5vhW3sbDhbH9Cz0tuDiY8C3ctxq1tqvaCgkFb8cCA/edit?usp=sharing"",""บุรีรัมย์!I20"")"),1)</f>
        <v>1</v>
      </c>
      <c r="J80" s="201">
        <f ca="1">IFERROR(__xludf.DUMMYFUNCTION("IMPORTRANGE(""https://docs.google.com/spreadsheets/d/1XL5vhW3sbDhbH9Cz0tuDiY8C3ctxq1tqvaCgkFb8cCA/edit?usp=sharing"",""บุรีรัมย์!J20"")"),1)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IFERROR(__xludf.DUMMYFUNCTION("IMPORTRANGE(""https://docs.google.com/spreadsheets/d/1XL5vhW3sbDhbH9Cz0tuDiY8C3ctxq1tqvaCgkFb8cCA/edit?usp=sharing"",""บุรีรัมย์!I21"")"),63)</f>
        <v>63</v>
      </c>
      <c r="J81" s="201">
        <f ca="1">IFERROR(__xludf.DUMMYFUNCTION("IMPORTRANGE(""https://docs.google.com/spreadsheets/d/1XL5vhW3sbDhbH9Cz0tuDiY8C3ctxq1tqvaCgkFb8cCA/edit?usp=sharing"",""บุรีรัมย์!J21"")"),63)</f>
        <v>63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IFERROR(__xludf.DUMMYFUNCTION("IMPORTRANGE(""https://docs.google.com/spreadsheets/d/1XL5vhW3sbDhbH9Cz0tuDiY8C3ctxq1tqvaCgkFb8cCA/edit?usp=sharing"",""บุรีรัมย์!I22"")"),1)</f>
        <v>1</v>
      </c>
      <c r="J82" s="204">
        <f ca="1">IFERROR(__xludf.DUMMYFUNCTION("IMPORTRANGE(""https://docs.google.com/spreadsheets/d/1XL5vhW3sbDhbH9Cz0tuDiY8C3ctxq1tqvaCgkFb8cCA/edit?usp=sharing"",""บุรีรัมย์!J22"")"),1)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IFERROR(__xludf.DUMMYFUNCTION("IMPORTRANGE(""https://docs.google.com/spreadsheets/d/1XL5vhW3sbDhbH9Cz0tuDiY8C3ctxq1tqvaCgkFb8cCA/edit?usp=sharing"",""บุรีรัมย์!I23"")"),63)</f>
        <v>63</v>
      </c>
      <c r="J83" s="204">
        <f ca="1">IFERROR(__xludf.DUMMYFUNCTION("IMPORTRANGE(""https://docs.google.com/spreadsheets/d/1XL5vhW3sbDhbH9Cz0tuDiY8C3ctxq1tqvaCgkFb8cCA/edit?usp=sharing"",""บุรีรัมย์!J23"")"),63)</f>
        <v>63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IFERROR(__xludf.DUMMYFUNCTION("IMPORTRANGE(""https://docs.google.com/spreadsheets/d/1XL5vhW3sbDhbH9Cz0tuDiY8C3ctxq1tqvaCgkFb8cCA/edit?usp=sharing"",""บุรีรัมย์!I24"")"),0)</f>
        <v>0</v>
      </c>
      <c r="J84" s="189">
        <f ca="1">IFERROR(__xludf.DUMMYFUNCTION("IMPORTRANGE(""https://docs.google.com/spreadsheets/d/1XL5vhW3sbDhbH9Cz0tuDiY8C3ctxq1tqvaCgkFb8cCA/edit?usp=sharing"",""บุรีรัมย์!J24"")"),0)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IFERROR(__xludf.DUMMYFUNCTION("IMPORTRANGE(""https://docs.google.com/spreadsheets/d/1XL5vhW3sbDhbH9Cz0tuDiY8C3ctxq1tqvaCgkFb8cCA/edit?usp=sharing"",""บุรีรัมย์!I25"")"),0)</f>
        <v>0</v>
      </c>
      <c r="J85" s="189">
        <f ca="1">IFERROR(__xludf.DUMMYFUNCTION("IMPORTRANGE(""https://docs.google.com/spreadsheets/d/1XL5vhW3sbDhbH9Cz0tuDiY8C3ctxq1tqvaCgkFb8cCA/edit?usp=sharing"",""บุรีรัมย์!J25"")"),0)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IFERROR(__xludf.DUMMYFUNCTION("IMPORTRANGE(""https://docs.google.com/spreadsheets/d/1XL5vhW3sbDhbH9Cz0tuDiY8C3ctxq1tqvaCgkFb8cCA/edit?usp=sharing"",""บุรีรัมย์!I26"")"),0)</f>
        <v>0</v>
      </c>
      <c r="J86" s="204">
        <f ca="1">IFERROR(__xludf.DUMMYFUNCTION("IMPORTRANGE(""https://docs.google.com/spreadsheets/d/1XL5vhW3sbDhbH9Cz0tuDiY8C3ctxq1tqvaCgkFb8cCA/edit?usp=sharing"",""บุรีรัมย์!J26"")"),0)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IFERROR(__xludf.DUMMYFUNCTION("IMPORTRANGE(""https://docs.google.com/spreadsheets/d/1XL5vhW3sbDhbH9Cz0tuDiY8C3ctxq1tqvaCgkFb8cCA/edit?usp=sharing"",""บุรีรัมย์!I27"")"),0)</f>
        <v>0</v>
      </c>
      <c r="J87" s="204">
        <f ca="1">IFERROR(__xludf.DUMMYFUNCTION("IMPORTRANGE(""https://docs.google.com/spreadsheets/d/1XL5vhW3sbDhbH9Cz0tuDiY8C3ctxq1tqvaCgkFb8cCA/edit?usp=sharing"",""บุรีรัมย์!J27"")"),0)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IFERROR(__xludf.DUMMYFUNCTION("IMPORTRANGE(""https://docs.google.com/spreadsheets/d/1XL5vhW3sbDhbH9Cz0tuDiY8C3ctxq1tqvaCgkFb8cCA/edit?usp=sharing"",""บุรีรัมย์!I28"")"),63)</f>
        <v>63</v>
      </c>
      <c r="J88" s="204">
        <f ca="1">IFERROR(__xludf.DUMMYFUNCTION("IMPORTRANGE(""https://docs.google.com/spreadsheets/d/1XL5vhW3sbDhbH9Cz0tuDiY8C3ctxq1tqvaCgkFb8cCA/edit?usp=sharing"",""บุรีรัมย์!J28"")"),0)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IFERROR(__xludf.DUMMYFUNCTION("IMPORTRANGE(""https://docs.google.com/spreadsheets/d/1XL5vhW3sbDhbH9Cz0tuDiY8C3ctxq1tqvaCgkFb8cCA/edit?usp=sharing"",""บุรีรัมย์!J29"")"),0)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IFERROR(__xludf.DUMMYFUNCTION("IMPORTRANGE(""https://docs.google.com/spreadsheets/d/1XL5vhW3sbDhbH9Cz0tuDiY8C3ctxq1tqvaCgkFb8cCA/edit?usp=sharing"",""บุรีรัมย์!J30"")"),0)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IFERROR(__xludf.DUMMYFUNCTION("IMPORTRANGE(""https://docs.google.com/spreadsheets/d/1XL5vhW3sbDhbH9Cz0tuDiY8C3ctxq1tqvaCgkFb8cCA/edit?usp=sharing"",""บุรีรัมย์!I32"")"),0)</f>
        <v>0</v>
      </c>
      <c r="J92" s="142">
        <f ca="1">IFERROR(__xludf.DUMMYFUNCTION("IMPORTRANGE(""https://docs.google.com/spreadsheets/d/1XL5vhW3sbDhbH9Cz0tuDiY8C3ctxq1tqvaCgkFb8cCA/edit?usp=sharing"",""บุรีรัมย์!J32"")"),0)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IFERROR(__xludf.DUMMYFUNCTION("IMPORTRANGE(""https://docs.google.com/spreadsheets/d/1XL5vhW3sbDhbH9Cz0tuDiY8C3ctxq1tqvaCgkFb8cCA/edit?usp=sharing"",""บุรีรัมย์!I33"")"),0)</f>
        <v>0</v>
      </c>
      <c r="J93" s="142">
        <f ca="1">IFERROR(__xludf.DUMMYFUNCTION("IMPORTRANGE(""https://docs.google.com/spreadsheets/d/1XL5vhW3sbDhbH9Cz0tuDiY8C3ctxq1tqvaCgkFb8cCA/edit?usp=sharing"",""บุรีรัมย์!J33"")"),0)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54" t="s">
        <v>17</v>
      </c>
      <c r="E94" s="555"/>
      <c r="F94" s="555"/>
      <c r="G94" s="55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52" t="s">
        <v>20</v>
      </c>
      <c r="E97" s="553"/>
      <c r="F97" s="55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537">
        <f ca="1">IFERROR(__xludf.DUMMYFUNCTION("IMPORTRANGE(""https://docs.google.com/spreadsheets/d/1Yj_ptqi66GCucihVvJfMjLAmec39IyEx_6qawtMGysU/edit?usp=sharing"",""สบก!AR44"")"),0)</f>
        <v>0</v>
      </c>
      <c r="N98" s="538">
        <f ca="1">IFERROR(__xludf.DUMMYFUNCTION("IMPORTRANGE(""https://docs.google.com/spreadsheets/d/1Yj_ptqi66GCucihVvJfMjLAmec39IyEx_6qawtMGysU/edit?usp=sharing"",""สบก!AS44"")"),0)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537">
        <f ca="1">IFERROR(__xludf.DUMMYFUNCTION("IMPORTRANGE(""https://docs.google.com/spreadsheets/d/1Yj_ptqi66GCucihVvJfMjLAmec39IyEx_6qawtMGysU/edit?usp=sharing"",""สบก!AN44"")"),0)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537">
        <f ca="1">IFERROR(__xludf.DUMMYFUNCTION("IMPORTRANGE(""https://docs.google.com/spreadsheets/d/1Yj_ptqi66GCucihVvJfMjLAmec39IyEx_6qawtMGysU/edit?usp=sharing"",""สบก!AO44"")"),0)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52" t="s">
        <v>23</v>
      </c>
      <c r="E101" s="553"/>
      <c r="F101" s="89"/>
      <c r="G101" s="82" t="s">
        <v>18</v>
      </c>
      <c r="H101" s="172" t="s">
        <v>12</v>
      </c>
      <c r="I101" s="188"/>
      <c r="J101" s="188"/>
      <c r="K101" s="224"/>
      <c r="L101" s="535">
        <v>0</v>
      </c>
      <c r="M101" s="535"/>
      <c r="N101" s="41"/>
      <c r="O101" s="535"/>
      <c r="P101" s="535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533">
        <f ca="1">IFERROR(__xludf.DUMMYFUNCTION("IMPORTRANGE(""https://docs.google.com/spreadsheets/d/1Yj_ptqi66GCucihVvJfMjLAmec39IyEx_6qawtMGysU/edit?usp=sharing"",""สบก!AP44"")"),0)</f>
        <v>0</v>
      </c>
      <c r="M102" s="536"/>
      <c r="N102" s="533">
        <f ca="1">IFERROR(__xludf.DUMMYFUNCTION("IMPORTRANGE(""https://docs.google.com/spreadsheets/d/1Yj_ptqi66GCucihVvJfMjLAmec39IyEx_6qawtMGysU/edit?usp=sharing"",""สบก!AT44"")"),0)</f>
        <v>0</v>
      </c>
      <c r="O102" s="536">
        <f ca="1">IF(L102&gt;0,N102*100/L102,0)</f>
        <v>0</v>
      </c>
      <c r="P102" s="536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IFERROR(__xludf.DUMMYFUNCTION("IMPORTRANGE(""https://docs.google.com/spreadsheets/d/1XL5vhW3sbDhbH9Cz0tuDiY8C3ctxq1tqvaCgkFb8cCA/edit?usp=sharing"",""บุรีรัมย์!J39"")"),0)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IFERROR(__xludf.DUMMYFUNCTION("IMPORTRANGE(""https://docs.google.com/spreadsheets/d/1XL5vhW3sbDhbH9Cz0tuDiY8C3ctxq1tqvaCgkFb8cCA/edit?usp=sharing"",""บุรีรัมย์!J40"")"),0)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IFERROR(__xludf.DUMMYFUNCTION("IMPORTRANGE(""https://docs.google.com/spreadsheets/d/1XL5vhW3sbDhbH9Cz0tuDiY8C3ctxq1tqvaCgkFb8cCA/edit?usp=sharing"",""บุรีรัมย์!J41"")"),0)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IFERROR(__xludf.DUMMYFUNCTION("IMPORTRANGE(""https://docs.google.com/spreadsheets/d/1XL5vhW3sbDhbH9Cz0tuDiY8C3ctxq1tqvaCgkFb8cCA/edit?usp=sharing"",""บุรีรัมย์!J42"")"),0)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IFERROR(__xludf.DUMMYFUNCTION("IMPORTRANGE(""https://docs.google.com/spreadsheets/d/1XL5vhW3sbDhbH9Cz0tuDiY8C3ctxq1tqvaCgkFb8cCA/edit?usp=sharing"",""บุรีรัมย์!I43"")"),0)</f>
        <v>0</v>
      </c>
      <c r="J108" s="204">
        <f ca="1">IFERROR(__xludf.DUMMYFUNCTION("IMPORTRANGE(""https://docs.google.com/spreadsheets/d/1XL5vhW3sbDhbH9Cz0tuDiY8C3ctxq1tqvaCgkFb8cCA/edit?usp=sharing"",""บุรีรัมย์!J43"")"),0)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IFERROR(__xludf.DUMMYFUNCTION("IMPORTRANGE(""https://docs.google.com/spreadsheets/d/1XL5vhW3sbDhbH9Cz0tuDiY8C3ctxq1tqvaCgkFb8cCA/edit?usp=sharing"",""บุรีรัมย์!I44"")"),0)</f>
        <v>0</v>
      </c>
      <c r="J109" s="204">
        <f ca="1">IFERROR(__xludf.DUMMYFUNCTION("IMPORTRANGE(""https://docs.google.com/spreadsheets/d/1XL5vhW3sbDhbH9Cz0tuDiY8C3ctxq1tqvaCgkFb8cCA/edit?usp=sharing"",""บุรีรัมย์!J44"")"),0)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IFERROR(__xludf.DUMMYFUNCTION("IMPORTRANGE(""https://docs.google.com/spreadsheets/d/1XL5vhW3sbDhbH9Cz0tuDiY8C3ctxq1tqvaCgkFb8cCA/edit?usp=sharing"",""บุรีรัมย์!I45"")"),0)</f>
        <v>0</v>
      </c>
      <c r="J110" s="204">
        <f ca="1">IFERROR(__xludf.DUMMYFUNCTION("IMPORTRANGE(""https://docs.google.com/spreadsheets/d/1XL5vhW3sbDhbH9Cz0tuDiY8C3ctxq1tqvaCgkFb8cCA/edit?usp=sharing"",""บุรีรัมย์!J45"")"),0)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IFERROR(__xludf.DUMMYFUNCTION("IMPORTRANGE(""https://docs.google.com/spreadsheets/d/1XL5vhW3sbDhbH9Cz0tuDiY8C3ctxq1tqvaCgkFb8cCA/edit?usp=sharing"",""บุรีรัมย์!I46"")"),0)</f>
        <v>0</v>
      </c>
      <c r="J111" s="204">
        <f ca="1">IFERROR(__xludf.DUMMYFUNCTION("IMPORTRANGE(""https://docs.google.com/spreadsheets/d/1XL5vhW3sbDhbH9Cz0tuDiY8C3ctxq1tqvaCgkFb8cCA/edit?usp=sharing"",""บุรีรัมย์!J46"")"),0)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IFERROR(__xludf.DUMMYFUNCTION("IMPORTRANGE(""https://docs.google.com/spreadsheets/d/1XL5vhW3sbDhbH9Cz0tuDiY8C3ctxq1tqvaCgkFb8cCA/edit?usp=sharing"",""บุรีรัมย์!I47"")"),0)</f>
        <v>0</v>
      </c>
      <c r="J112" s="204">
        <f ca="1">IFERROR(__xludf.DUMMYFUNCTION("IMPORTRANGE(""https://docs.google.com/spreadsheets/d/1XL5vhW3sbDhbH9Cz0tuDiY8C3ctxq1tqvaCgkFb8cCA/edit?usp=sharing"",""บุรีรัมย์!J47"")"),0)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IFERROR(__xludf.DUMMYFUNCTION("IMPORTRANGE(""https://docs.google.com/spreadsheets/d/1XL5vhW3sbDhbH9Cz0tuDiY8C3ctxq1tqvaCgkFb8cCA/edit?usp=sharing"",""บุรีรัมย์!I48"")"),0)</f>
        <v>0</v>
      </c>
      <c r="J113" s="204">
        <f ca="1">IFERROR(__xludf.DUMMYFUNCTION("IMPORTRANGE(""https://docs.google.com/spreadsheets/d/1XL5vhW3sbDhbH9Cz0tuDiY8C3ctxq1tqvaCgkFb8cCA/edit?usp=sharing"",""บุรีรัมย์!J48"")"),0)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IFERROR(__xludf.DUMMYFUNCTION("IMPORTRANGE(""https://docs.google.com/spreadsheets/d/1XL5vhW3sbDhbH9Cz0tuDiY8C3ctxq1tqvaCgkFb8cCA/edit?usp=sharing"",""บุรีรัมย์!J49"")"),0)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IFERROR(__xludf.DUMMYFUNCTION("IMPORTRANGE(""https://docs.google.com/spreadsheets/d/1XL5vhW3sbDhbH9Cz0tuDiY8C3ctxq1tqvaCgkFb8cCA/edit?usp=sharing"",""บุรีรัมย์!J50"")"),0)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IFERROR(__xludf.DUMMYFUNCTION("IMPORTRANGE(""https://docs.google.com/spreadsheets/d/1XL5vhW3sbDhbH9Cz0tuDiY8C3ctxq1tqvaCgkFb8cCA/edit?usp=sharing"",""บุรีรัมย์!I52"")"),20)</f>
        <v>20</v>
      </c>
      <c r="J117" s="142">
        <f ca="1">IFERROR(__xludf.DUMMYFUNCTION("IMPORTRANGE(""https://docs.google.com/spreadsheets/d/1XL5vhW3sbDhbH9Cz0tuDiY8C3ctxq1tqvaCgkFb8cCA/edit?usp=sharing"",""บุรีรัมย์!J52"")"),20)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54" t="s">
        <v>17</v>
      </c>
      <c r="E118" s="555"/>
      <c r="F118" s="555"/>
      <c r="G118" s="555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42840</v>
      </c>
      <c r="O118" s="151">
        <f t="shared" ref="O118:O120" ca="1" si="59">IF(L118&gt;0,N118*100/L118,0)</f>
        <v>51.965065502183407</v>
      </c>
      <c r="P118" s="151">
        <f t="shared" ref="P118:P120" ca="1" si="60">IF(M118&gt;0,N118*100/M118,0)</f>
        <v>51.965065502183407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42840</v>
      </c>
      <c r="O120" s="156">
        <f t="shared" ca="1" si="59"/>
        <v>51.965065502183407</v>
      </c>
      <c r="P120" s="156">
        <f t="shared" ca="1" si="60"/>
        <v>51.965065502183407</v>
      </c>
    </row>
    <row r="121" spans="1:16" ht="21.75" customHeight="1" x14ac:dyDescent="0.45">
      <c r="A121" s="158"/>
      <c r="B121" s="159"/>
      <c r="C121" s="159" t="s">
        <v>16</v>
      </c>
      <c r="D121" s="552" t="s">
        <v>20</v>
      </c>
      <c r="E121" s="553"/>
      <c r="F121" s="55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537">
        <f ca="1">IFERROR(__xludf.DUMMYFUNCTION("IMPORTRANGE(""https://docs.google.com/spreadsheets/d/1Yj_ptqi66GCucihVvJfMjLAmec39IyEx_6qawtMGysU/edit?usp=sharing"",""สบก!BA44"")"),82440)</f>
        <v>82440</v>
      </c>
      <c r="N122" s="538">
        <f ca="1">IFERROR(__xludf.DUMMYFUNCTION("IMPORTRANGE(""https://docs.google.com/spreadsheets/d/1Yj_ptqi66GCucihVvJfMjLAmec39IyEx_6qawtMGysU/edit?usp=sharing"",""สบก!BB44"")"),42840)</f>
        <v>42840</v>
      </c>
      <c r="O122" s="169">
        <f ca="1">IF(L122&gt;0,N122*100/L122,0)</f>
        <v>51.965065502183407</v>
      </c>
      <c r="P122" s="169">
        <f ca="1">IF(M122&gt;0,N122*100/M122,0)</f>
        <v>51.965065502183407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537">
        <f ca="1">IFERROR(__xludf.DUMMYFUNCTION("IMPORTRANGE(""https://docs.google.com/spreadsheets/d/1Yj_ptqi66GCucihVvJfMjLAmec39IyEx_6qawtMGysU/edit?usp=sharing"",""สบก!AW44"")"),0)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537">
        <f ca="1">IFERROR(__xludf.DUMMYFUNCTION("IMPORTRANGE(""https://docs.google.com/spreadsheets/d/1Yj_ptqi66GCucihVvJfMjLAmec39IyEx_6qawtMGysU/edit?usp=sharing"",""สบก!AX44"")"),82440)</f>
        <v>82440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52" t="s">
        <v>23</v>
      </c>
      <c r="E125" s="553"/>
      <c r="F125" s="89"/>
      <c r="G125" s="82" t="s">
        <v>18</v>
      </c>
      <c r="H125" s="172" t="s">
        <v>12</v>
      </c>
      <c r="I125" s="188"/>
      <c r="J125" s="188"/>
      <c r="K125" s="224"/>
      <c r="L125" s="535">
        <v>0</v>
      </c>
      <c r="M125" s="535"/>
      <c r="N125" s="41"/>
      <c r="O125" s="535"/>
      <c r="P125" s="535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533">
        <f ca="1">IFERROR(__xludf.DUMMYFUNCTION("IMPORTRANGE(""https://docs.google.com/spreadsheets/d/1Yj_ptqi66GCucihVvJfMjLAmec39IyEx_6qawtMGysU/edit?usp=sharing"",""สบก!AY44"")"),0)</f>
        <v>0</v>
      </c>
      <c r="M126" s="536"/>
      <c r="N126" s="533">
        <f ca="1">IFERROR(__xludf.DUMMYFUNCTION("IMPORTRANGE(""https://docs.google.com/spreadsheets/d/1Yj_ptqi66GCucihVvJfMjLAmec39IyEx_6qawtMGysU/edit?usp=sharing"",""สบก!BC44"")"),0)</f>
        <v>0</v>
      </c>
      <c r="O126" s="536">
        <f ca="1">IF(L126&gt;0,N126*100/L126,0)</f>
        <v>0</v>
      </c>
      <c r="P126" s="536"/>
    </row>
    <row r="127" spans="1:16" ht="21.75" customHeight="1" x14ac:dyDescent="0.35">
      <c r="A127" s="176"/>
      <c r="B127" s="177"/>
      <c r="C127" s="159" t="s">
        <v>16</v>
      </c>
      <c r="D127" s="233" t="s">
        <v>251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IFERROR(__xludf.DUMMYFUNCTION("IMPORTRANGE(""https://docs.google.com/spreadsheets/d/1XL5vhW3sbDhbH9Cz0tuDiY8C3ctxq1tqvaCgkFb8cCA/edit?usp=sharing"",""บุรีรัมย์!J58"")"),0)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IFERROR(__xludf.DUMMYFUNCTION("IMPORTRANGE(""https://docs.google.com/spreadsheets/d/1XL5vhW3sbDhbH9Cz0tuDiY8C3ctxq1tqvaCgkFb8cCA/edit?usp=sharing"",""บุรีรัมย์!J59"")"),1)</f>
        <v>1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IFERROR(__xludf.DUMMYFUNCTION("IMPORTRANGE(""https://docs.google.com/spreadsheets/d/1XL5vhW3sbDhbH9Cz0tuDiY8C3ctxq1tqvaCgkFb8cCA/edit?usp=sharing"",""บุรีรัมย์!J60"")"),1)</f>
        <v>1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IFERROR(__xludf.DUMMYFUNCTION("IMPORTRANGE(""https://docs.google.com/spreadsheets/d/1XL5vhW3sbDhbH9Cz0tuDiY8C3ctxq1tqvaCgkFb8cCA/edit?usp=sharing"",""บุรีรัมย์!J61"")"),1)</f>
        <v>1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IFERROR(__xludf.DUMMYFUNCTION("IMPORTRANGE(""https://docs.google.com/spreadsheets/d/1XL5vhW3sbDhbH9Cz0tuDiY8C3ctxq1tqvaCgkFb8cCA/edit?usp=sharing"",""บุรีรัมย์!I62"")"),20)</f>
        <v>20</v>
      </c>
      <c r="J132" s="204">
        <f ca="1">IFERROR(__xludf.DUMMYFUNCTION("IMPORTRANGE(""https://docs.google.com/spreadsheets/d/1XL5vhW3sbDhbH9Cz0tuDiY8C3ctxq1tqvaCgkFb8cCA/edit?usp=sharing"",""บุรีรัมย์!J62"")"),20)</f>
        <v>20</v>
      </c>
      <c r="K132" s="224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IFERROR(__xludf.DUMMYFUNCTION("IMPORTRANGE(""https://docs.google.com/spreadsheets/d/1XL5vhW3sbDhbH9Cz0tuDiY8C3ctxq1tqvaCgkFb8cCA/edit?usp=sharing"",""บุรีรัมย์!I63"")"),20)</f>
        <v>20</v>
      </c>
      <c r="J133" s="204">
        <f ca="1">IFERROR(__xludf.DUMMYFUNCTION("IMPORTRANGE(""https://docs.google.com/spreadsheets/d/1XL5vhW3sbDhbH9Cz0tuDiY8C3ctxq1tqvaCgkFb8cCA/edit?usp=sharing"",""บุรีรัมย์!J63"")"),20)</f>
        <v>20</v>
      </c>
      <c r="K133" s="224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IFERROR(__xludf.DUMMYFUNCTION("IMPORTRANGE(""https://docs.google.com/spreadsheets/d/1XL5vhW3sbDhbH9Cz0tuDiY8C3ctxq1tqvaCgkFb8cCA/edit?usp=sharing"",""บุรีรัมย์!J64"")"),0)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IFERROR(__xludf.DUMMYFUNCTION("IMPORTRANGE(""https://docs.google.com/spreadsheets/d/1XL5vhW3sbDhbH9Cz0tuDiY8C3ctxq1tqvaCgkFb8cCA/edit?usp=sharing"",""บุรีรัมย์!J65"")"),0)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IFERROR(__xludf.DUMMYFUNCTION("IMPORTRANGE(""https://docs.google.com/spreadsheets/d/1XL5vhW3sbDhbH9Cz0tuDiY8C3ctxq1tqvaCgkFb8cCA/edit?usp=sharing"",""บุรีรัมย์!I68"")"),0)</f>
        <v>0</v>
      </c>
      <c r="J138" s="267">
        <f ca="1">IFERROR(__xludf.DUMMYFUNCTION("IMPORTRANGE(""https://docs.google.com/spreadsheets/d/1XL5vhW3sbDhbH9Cz0tuDiY8C3ctxq1tqvaCgkFb8cCA/edit?usp=sharing"",""บุรีรัมย์!J68"")"),0)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54" t="s">
        <v>17</v>
      </c>
      <c r="E140" s="555"/>
      <c r="F140" s="555"/>
      <c r="G140" s="555"/>
      <c r="H140" s="149" t="s">
        <v>12</v>
      </c>
      <c r="I140" s="162"/>
      <c r="J140" s="162"/>
      <c r="K140" s="163"/>
      <c r="L140" s="152">
        <f t="shared" ref="L140:N140" ca="1" si="64">L141+L142</f>
        <v>98500</v>
      </c>
      <c r="M140" s="152">
        <f t="shared" ca="1" si="64"/>
        <v>70625</v>
      </c>
      <c r="N140" s="152">
        <f t="shared" ca="1" si="64"/>
        <v>56710</v>
      </c>
      <c r="O140" s="151">
        <f t="shared" ref="O140:O142" ca="1" si="65">IF(L140&gt;0,N140*100/L140,0)</f>
        <v>57.573604060913702</v>
      </c>
      <c r="P140" s="151">
        <f t="shared" ref="P140:P142" ca="1" si="66">IF(M140&gt;0,N140*100/M140,0)</f>
        <v>80.297345132743359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98500</v>
      </c>
      <c r="M142" s="157">
        <f t="shared" ca="1" si="68"/>
        <v>70625</v>
      </c>
      <c r="N142" s="157">
        <f t="shared" ca="1" si="68"/>
        <v>56710</v>
      </c>
      <c r="O142" s="156">
        <f t="shared" ca="1" si="65"/>
        <v>57.573604060913702</v>
      </c>
      <c r="P142" s="156">
        <f t="shared" ca="1" si="66"/>
        <v>80.297345132743359</v>
      </c>
    </row>
    <row r="143" spans="1:16" ht="21.75" customHeight="1" x14ac:dyDescent="0.45">
      <c r="A143" s="158"/>
      <c r="B143" s="159"/>
      <c r="C143" s="159" t="s">
        <v>16</v>
      </c>
      <c r="D143" s="552" t="s">
        <v>20</v>
      </c>
      <c r="E143" s="553"/>
      <c r="F143" s="55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98500</v>
      </c>
      <c r="M144" s="537">
        <f ca="1">IFERROR(__xludf.DUMMYFUNCTION("IMPORTRANGE(""https://docs.google.com/spreadsheets/d/1Yj_ptqi66GCucihVvJfMjLAmec39IyEx_6qawtMGysU/edit?usp=sharing"",""สบก!BJ44"")"),70625)</f>
        <v>70625</v>
      </c>
      <c r="N144" s="538">
        <f ca="1">IFERROR(__xludf.DUMMYFUNCTION("IMPORTRANGE(""https://docs.google.com/spreadsheets/d/1Yj_ptqi66GCucihVvJfMjLAmec39IyEx_6qawtMGysU/edit?usp=sharing"",""สบก!BK44"")"),56710)</f>
        <v>56710</v>
      </c>
      <c r="O144" s="169">
        <f ca="1">IF(L144&gt;0,N144*100/L144,0)</f>
        <v>57.573604060913702</v>
      </c>
      <c r="P144" s="169">
        <f ca="1">IF(M144&gt;0,N144*100/M144,0)</f>
        <v>80.297345132743359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537">
        <f ca="1">IFERROR(__xludf.DUMMYFUNCTION("IMPORTRANGE(""https://docs.google.com/spreadsheets/d/1Yj_ptqi66GCucihVvJfMjLAmec39IyEx_6qawtMGysU/edit?usp=sharing"",""สบก!BF44"")"),0)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537">
        <f ca="1">IFERROR(__xludf.DUMMYFUNCTION("IMPORTRANGE(""https://docs.google.com/spreadsheets/d/1Yj_ptqi66GCucihVvJfMjLAmec39IyEx_6qawtMGysU/edit?usp=sharing"",""สบก!BG44"")"),98500)</f>
        <v>98500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52" t="s">
        <v>23</v>
      </c>
      <c r="E147" s="553"/>
      <c r="F147" s="89"/>
      <c r="G147" s="82" t="s">
        <v>18</v>
      </c>
      <c r="H147" s="172" t="s">
        <v>12</v>
      </c>
      <c r="I147" s="188"/>
      <c r="J147" s="188"/>
      <c r="K147" s="224"/>
      <c r="L147" s="535">
        <v>0</v>
      </c>
      <c r="M147" s="535"/>
      <c r="N147" s="41"/>
      <c r="O147" s="535"/>
      <c r="P147" s="535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533">
        <f ca="1">IFERROR(__xludf.DUMMYFUNCTION("IMPORTRANGE(""https://docs.google.com/spreadsheets/d/1Yj_ptqi66GCucihVvJfMjLAmec39IyEx_6qawtMGysU/edit?usp=sharing"",""สบก!BH44"")"),0)</f>
        <v>0</v>
      </c>
      <c r="M148" s="536"/>
      <c r="N148" s="533">
        <f ca="1">IFERROR(__xludf.DUMMYFUNCTION("IMPORTRANGE(""https://docs.google.com/spreadsheets/d/1Yj_ptqi66GCucihVvJfMjLAmec39IyEx_6qawtMGysU/edit?usp=sharing"",""สบก!BL44"")"),0)</f>
        <v>0</v>
      </c>
      <c r="O148" s="536">
        <f ca="1">IF(L148&gt;0,N148*100/L148,0)</f>
        <v>0</v>
      </c>
      <c r="P148" s="536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IFERROR(__xludf.DUMMYFUNCTION("IMPORTRANGE(""https://docs.google.com/spreadsheets/d/1XL5vhW3sbDhbH9Cz0tuDiY8C3ctxq1tqvaCgkFb8cCA/edit?usp=sharing"",""บุรีรัมย์!I74"")"),4)</f>
        <v>4</v>
      </c>
      <c r="J149" s="275">
        <f ca="1">IFERROR(__xludf.DUMMYFUNCTION("IMPORTRANGE(""https://docs.google.com/spreadsheets/d/1XL5vhW3sbDhbH9Cz0tuDiY8C3ctxq1tqvaCgkFb8cCA/edit?usp=sharing"",""บุรีรัมย์!J74"")"),2)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IFERROR(__xludf.DUMMYFUNCTION("IMPORTRANGE(""https://docs.google.com/spreadsheets/d/1XL5vhW3sbDhbH9Cz0tuDiY8C3ctxq1tqvaCgkFb8cCA/edit?usp=sharing"",""บุรีรัมย์!J79"")"),0)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IFERROR(__xludf.DUMMYFUNCTION("IMPORTRANGE(""https://docs.google.com/spreadsheets/d/1XL5vhW3sbDhbH9Cz0tuDiY8C3ctxq1tqvaCgkFb8cCA/edit?usp=sharing"",""บุรีรัมย์!J80"")"),1)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IFERROR(__xludf.DUMMYFUNCTION("IMPORTRANGE(""https://docs.google.com/spreadsheets/d/1XL5vhW3sbDhbH9Cz0tuDiY8C3ctxq1tqvaCgkFb8cCA/edit?usp=sharing"",""บุรีรัมย์!J81"")"),1)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IFERROR(__xludf.DUMMYFUNCTION("IMPORTRANGE(""https://docs.google.com/spreadsheets/d/1XL5vhW3sbDhbH9Cz0tuDiY8C3ctxq1tqvaCgkFb8cCA/edit?usp=sharing"",""บุรีรัมย์!J82"")"),1)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IFERROR(__xludf.DUMMYFUNCTION("IMPORTRANGE(""https://docs.google.com/spreadsheets/d/1XL5vhW3sbDhbH9Cz0tuDiY8C3ctxq1tqvaCgkFb8cCA/edit?usp=sharing"",""บุรีรัมย์!I83"")"),4)</f>
        <v>4</v>
      </c>
      <c r="J158" s="189">
        <f ca="1">IFERROR(__xludf.DUMMYFUNCTION("IMPORTRANGE(""https://docs.google.com/spreadsheets/d/1XL5vhW3sbDhbH9Cz0tuDiY8C3ctxq1tqvaCgkFb8cCA/edit?usp=sharing"",""บุรีรัมย์!J83"")"),2)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IFERROR(__xludf.DUMMYFUNCTION("IMPORTRANGE(""https://docs.google.com/spreadsheets/d/1XL5vhW3sbDhbH9Cz0tuDiY8C3ctxq1tqvaCgkFb8cCA/edit?usp=sharing"",""บุรีรัมย์!J84"")"),131)</f>
        <v>131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IFERROR(__xludf.DUMMYFUNCTION("IMPORTRANGE(""https://docs.google.com/spreadsheets/d/1XL5vhW3sbDhbH9Cz0tuDiY8C3ctxq1tqvaCgkFb8cCA/edit?usp=sharing"",""บุรีรัมย์!J85"")"),131)</f>
        <v>131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IFERROR(__xludf.DUMMYFUNCTION("IMPORTRANGE(""https://docs.google.com/spreadsheets/d/1XL5vhW3sbDhbH9Cz0tuDiY8C3ctxq1tqvaCgkFb8cCA/edit?usp=sharing"",""บุรีรัมย์!J86"")"),0)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IFERROR(__xludf.DUMMYFUNCTION("IMPORTRANGE(""https://docs.google.com/spreadsheets/d/1XL5vhW3sbDhbH9Cz0tuDiY8C3ctxq1tqvaCgkFb8cCA/edit?usp=sharing"",""บุรีรัมย์!J87"")"),0)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IFERROR(__xludf.DUMMYFUNCTION("IMPORTRANGE(""https://docs.google.com/spreadsheets/d/1XL5vhW3sbDhbH9Cz0tuDiY8C3ctxq1tqvaCgkFb8cCA/edit?usp=sharing"",""บุรีรัมย์!J88"")"),0)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IFERROR(__xludf.DUMMYFUNCTION("IMPORTRANGE(""https://docs.google.com/spreadsheets/d/1XL5vhW3sbDhbH9Cz0tuDiY8C3ctxq1tqvaCgkFb8cCA/edit?usp=sharing"",""บุรีรัมย์!I89"")"),3)</f>
        <v>3</v>
      </c>
      <c r="J164" s="284">
        <f ca="1">IFERROR(__xludf.DUMMYFUNCTION("IMPORTRANGE(""https://docs.google.com/spreadsheets/d/1XL5vhW3sbDhbH9Cz0tuDiY8C3ctxq1tqvaCgkFb8cCA/edit?usp=sharing"",""บุรีรัมย์!J89"")"),3)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IFERROR(__xludf.DUMMYFUNCTION("IMPORTRANGE(""https://docs.google.com/spreadsheets/d/1XL5vhW3sbDhbH9Cz0tuDiY8C3ctxq1tqvaCgkFb8cCA/edit?usp=sharing"",""บุรีรัมย์!J94"")"),0)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IFERROR(__xludf.DUMMYFUNCTION("IMPORTRANGE(""https://docs.google.com/spreadsheets/d/1XL5vhW3sbDhbH9Cz0tuDiY8C3ctxq1tqvaCgkFb8cCA/edit?usp=sharing"",""บุรีรัมย์!J95"")"),1)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IFERROR(__xludf.DUMMYFUNCTION("IMPORTRANGE(""https://docs.google.com/spreadsheets/d/1XL5vhW3sbDhbH9Cz0tuDiY8C3ctxq1tqvaCgkFb8cCA/edit?usp=sharing"",""บุรีรัมย์!J96"")"),1)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IFERROR(__xludf.DUMMYFUNCTION("IMPORTRANGE(""https://docs.google.com/spreadsheets/d/1XL5vhW3sbDhbH9Cz0tuDiY8C3ctxq1tqvaCgkFb8cCA/edit?usp=sharing"",""บุรีรัมย์!J97"")"),1)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IFERROR(__xludf.DUMMYFUNCTION("IMPORTRANGE(""https://docs.google.com/spreadsheets/d/1XL5vhW3sbDhbH9Cz0tuDiY8C3ctxq1tqvaCgkFb8cCA/edit?usp=sharing"",""บุรีรัมย์!I98"")"),3)</f>
        <v>3</v>
      </c>
      <c r="J173" s="189">
        <f ca="1">IFERROR(__xludf.DUMMYFUNCTION("IMPORTRANGE(""https://docs.google.com/spreadsheets/d/1XL5vhW3sbDhbH9Cz0tuDiY8C3ctxq1tqvaCgkFb8cCA/edit?usp=sharing"",""บุรีรัมย์!J98"")"),3)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IFERROR(__xludf.DUMMYFUNCTION("IMPORTRANGE(""https://docs.google.com/spreadsheets/d/1XL5vhW3sbDhbH9Cz0tuDiY8C3ctxq1tqvaCgkFb8cCA/edit?usp=sharing"",""บุรีรัมย์!J99"")"),0)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IFERROR(__xludf.DUMMYFUNCTION("IMPORTRANGE(""https://docs.google.com/spreadsheets/d/1XL5vhW3sbDhbH9Cz0tuDiY8C3ctxq1tqvaCgkFb8cCA/edit?usp=sharing"",""บุรีรัมย์!J100"")"),0)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IFERROR(__xludf.DUMMYFUNCTION("IMPORTRANGE(""https://docs.google.com/spreadsheets/d/1XL5vhW3sbDhbH9Cz0tuDiY8C3ctxq1tqvaCgkFb8cCA/edit?usp=sharing"",""บุรีรัมย์!I101"")"),1)</f>
        <v>1</v>
      </c>
      <c r="J176" s="284">
        <f ca="1">IFERROR(__xludf.DUMMYFUNCTION("IMPORTRANGE(""https://docs.google.com/spreadsheets/d/1XL5vhW3sbDhbH9Cz0tuDiY8C3ctxq1tqvaCgkFb8cCA/edit?usp=sharing"",""บุรีรัมย์!J101"")"),1)</f>
        <v>1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IFERROR(__xludf.DUMMYFUNCTION("IMPORTRANGE(""https://docs.google.com/spreadsheets/d/1XL5vhW3sbDhbH9Cz0tuDiY8C3ctxq1tqvaCgkFb8cCA/edit?usp=sharing"",""บุรีรัมย์!J106"")"),0)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IFERROR(__xludf.DUMMYFUNCTION("IMPORTRANGE(""https://docs.google.com/spreadsheets/d/1XL5vhW3sbDhbH9Cz0tuDiY8C3ctxq1tqvaCgkFb8cCA/edit?usp=sharing"",""บุรีรัมย์!J107"")"),1)</f>
        <v>1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IFERROR(__xludf.DUMMYFUNCTION("IMPORTRANGE(""https://docs.google.com/spreadsheets/d/1XL5vhW3sbDhbH9Cz0tuDiY8C3ctxq1tqvaCgkFb8cCA/edit?usp=sharing"",""บุรีรัมย์!J108"")"),1)</f>
        <v>1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IFERROR(__xludf.DUMMYFUNCTION("IMPORTRANGE(""https://docs.google.com/spreadsheets/d/1XL5vhW3sbDhbH9Cz0tuDiY8C3ctxq1tqvaCgkFb8cCA/edit?usp=sharing"",""บุรีรัมย์!J109"")"),1)</f>
        <v>1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IFERROR(__xludf.DUMMYFUNCTION("IMPORTRANGE(""https://docs.google.com/spreadsheets/d/1XL5vhW3sbDhbH9Cz0tuDiY8C3ctxq1tqvaCgkFb8cCA/edit?usp=sharing"",""บุรีรัมย์!I110"")"),1)</f>
        <v>1</v>
      </c>
      <c r="J185" s="204">
        <f ca="1">IFERROR(__xludf.DUMMYFUNCTION("IMPORTRANGE(""https://docs.google.com/spreadsheets/d/1XL5vhW3sbDhbH9Cz0tuDiY8C3ctxq1tqvaCgkFb8cCA/edit?usp=sharing"",""บุรีรัมย์!J110"")"),0)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IFERROR(__xludf.DUMMYFUNCTION("IMPORTRANGE(""https://docs.google.com/spreadsheets/d/1XL5vhW3sbDhbH9Cz0tuDiY8C3ctxq1tqvaCgkFb8cCA/edit?usp=sharing"",""บุรีรัมย์!I111"")"),1)</f>
        <v>1</v>
      </c>
      <c r="J186" s="204">
        <f ca="1">IFERROR(__xludf.DUMMYFUNCTION("IMPORTRANGE(""https://docs.google.com/spreadsheets/d/1XL5vhW3sbDhbH9Cz0tuDiY8C3ctxq1tqvaCgkFb8cCA/edit?usp=sharing"",""บุรีรัมย์!J111"")"),1)</f>
        <v>1</v>
      </c>
      <c r="K186" s="224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IFERROR(__xludf.DUMMYFUNCTION("IMPORTRANGE(""https://docs.google.com/spreadsheets/d/1XL5vhW3sbDhbH9Cz0tuDiY8C3ctxq1tqvaCgkFb8cCA/edit?usp=sharing"",""บุรีรัมย์!J112"")"),0)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IFERROR(__xludf.DUMMYFUNCTION("IMPORTRANGE(""https://docs.google.com/spreadsheets/d/1XL5vhW3sbDhbH9Cz0tuDiY8C3ctxq1tqvaCgkFb8cCA/edit?usp=sharing"",""บุรีรัมย์!J113"")"),0)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IFERROR(__xludf.DUMMYFUNCTION("IMPORTRANGE(""https://docs.google.com/spreadsheets/d/1XL5vhW3sbDhbH9Cz0tuDiY8C3ctxq1tqvaCgkFb8cCA/edit?usp=sharing"",""บุรีรัมย์!I114"")"),100000)</f>
        <v>100000</v>
      </c>
      <c r="J189" s="284">
        <f ca="1">IFERROR(__xludf.DUMMYFUNCTION("IMPORTRANGE(""https://docs.google.com/spreadsheets/d/1XL5vhW3sbDhbH9Cz0tuDiY8C3ctxq1tqvaCgkFb8cCA/edit?usp=sharing"",""บุรีรัมย์!J114"")"),0)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IFERROR(__xludf.DUMMYFUNCTION("IMPORTRANGE(""https://docs.google.com/spreadsheets/d/1XL5vhW3sbDhbH9Cz0tuDiY8C3ctxq1tqvaCgkFb8cCA/edit?usp=sharing"",""บุรีรัมย์!J119"")"),0)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IFERROR(__xludf.DUMMYFUNCTION("IMPORTRANGE(""https://docs.google.com/spreadsheets/d/1XL5vhW3sbDhbH9Cz0tuDiY8C3ctxq1tqvaCgkFb8cCA/edit?usp=sharing"",""บุรีรัมย์!J120"")"),1)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IFERROR(__xludf.DUMMYFUNCTION("IMPORTRANGE(""https://docs.google.com/spreadsheets/d/1XL5vhW3sbDhbH9Cz0tuDiY8C3ctxq1tqvaCgkFb8cCA/edit?usp=sharing"",""บุรีรัมย์!J121"")"),0)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IFERROR(__xludf.DUMMYFUNCTION("IMPORTRANGE(""https://docs.google.com/spreadsheets/d/1XL5vhW3sbDhbH9Cz0tuDiY8C3ctxq1tqvaCgkFb8cCA/edit?usp=sharing"",""บุรีรัมย์!J122"")"),1)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IFERROR(__xludf.DUMMYFUNCTION("IMPORTRANGE(""https://docs.google.com/spreadsheets/d/1XL5vhW3sbDhbH9Cz0tuDiY8C3ctxq1tqvaCgkFb8cCA/edit?usp=sharing"",""บุรีรัมย์!I124"")"),100000)</f>
        <v>100000</v>
      </c>
      <c r="J199" s="189">
        <f ca="1">IFERROR(__xludf.DUMMYFUNCTION("IMPORTRANGE(""https://docs.google.com/spreadsheets/d/1XL5vhW3sbDhbH9Cz0tuDiY8C3ctxq1tqvaCgkFb8cCA/edit?usp=sharing"",""บุรีรัมย์!J124"")"),100000)</f>
        <v>100000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IFERROR(__xludf.DUMMYFUNCTION("IMPORTRANGE(""https://docs.google.com/spreadsheets/d/1XL5vhW3sbDhbH9Cz0tuDiY8C3ctxq1tqvaCgkFb8cCA/edit?usp=sharing"",""บุรีรัมย์!I125"")"),100000)</f>
        <v>100000</v>
      </c>
      <c r="J200" s="189">
        <f ca="1">IFERROR(__xludf.DUMMYFUNCTION("IMPORTRANGE(""https://docs.google.com/spreadsheets/d/1XL5vhW3sbDhbH9Cz0tuDiY8C3ctxq1tqvaCgkFb8cCA/edit?usp=sharing"",""บุรีรัมย์!J125"")"),0)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IFERROR(__xludf.DUMMYFUNCTION("IMPORTRANGE(""https://docs.google.com/spreadsheets/d/1XL5vhW3sbDhbH9Cz0tuDiY8C3ctxq1tqvaCgkFb8cCA/edit?usp=sharing"",""บุรีรัมย์!I126"")"),0)</f>
        <v>0</v>
      </c>
      <c r="J201" s="189">
        <f ca="1">IFERROR(__xludf.DUMMYFUNCTION("IMPORTRANGE(""https://docs.google.com/spreadsheets/d/1XL5vhW3sbDhbH9Cz0tuDiY8C3ctxq1tqvaCgkFb8cCA/edit?usp=sharing"",""บุรีรัมย์!J126"")"),0)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IFERROR(__xludf.DUMMYFUNCTION("IMPORTRANGE(""https://docs.google.com/spreadsheets/d/1XL5vhW3sbDhbH9Cz0tuDiY8C3ctxq1tqvaCgkFb8cCA/edit?usp=sharing"",""บุรีรัมย์!J127"")"),0)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IFERROR(__xludf.DUMMYFUNCTION("IMPORTRANGE(""https://docs.google.com/spreadsheets/d/1XL5vhW3sbDhbH9Cz0tuDiY8C3ctxq1tqvaCgkFb8cCA/edit?usp=sharing"",""บุรีรัมย์!J128"")"),0)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IFERROR(__xludf.DUMMYFUNCTION("IMPORTRANGE(""https://docs.google.com/spreadsheets/d/1XL5vhW3sbDhbH9Cz0tuDiY8C3ctxq1tqvaCgkFb8cCA/edit?usp=sharing"",""บุรีรัมย์!I129"")"),0)</f>
        <v>0</v>
      </c>
      <c r="J204" s="284">
        <f ca="1">IFERROR(__xludf.DUMMYFUNCTION("IMPORTRANGE(""https://docs.google.com/spreadsheets/d/1XL5vhW3sbDhbH9Cz0tuDiY8C3ctxq1tqvaCgkFb8cCA/edit?usp=sharing"",""บุรีรัมย์!J129"")"),0)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IFERROR(__xludf.DUMMYFUNCTION("IMPORTRANGE(""https://docs.google.com/spreadsheets/d/1XL5vhW3sbDhbH9Cz0tuDiY8C3ctxq1tqvaCgkFb8cCA/edit?usp=sharing"",""บุรีรัมย์!J134"")"),0)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IFERROR(__xludf.DUMMYFUNCTION("IMPORTRANGE(""https://docs.google.com/spreadsheets/d/1XL5vhW3sbDhbH9Cz0tuDiY8C3ctxq1tqvaCgkFb8cCA/edit?usp=sharing"",""บุรีรัมย์!J135"")"),0)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IFERROR(__xludf.DUMMYFUNCTION("IMPORTRANGE(""https://docs.google.com/spreadsheets/d/1XL5vhW3sbDhbH9Cz0tuDiY8C3ctxq1tqvaCgkFb8cCA/edit?usp=sharing"",""บุรีรัมย์!J136"")"),0)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IFERROR(__xludf.DUMMYFUNCTION("IMPORTRANGE(""https://docs.google.com/spreadsheets/d/1XL5vhW3sbDhbH9Cz0tuDiY8C3ctxq1tqvaCgkFb8cCA/edit?usp=sharing"",""บุรีรัมย์!J137"")"),0)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IFERROR(__xludf.DUMMYFUNCTION("IMPORTRANGE(""https://docs.google.com/spreadsheets/d/1XL5vhW3sbDhbH9Cz0tuDiY8C3ctxq1tqvaCgkFb8cCA/edit?usp=sharing"",""บุรีรัมย์!I138"")"),0)</f>
        <v>0</v>
      </c>
      <c r="J213" s="204">
        <f ca="1">IFERROR(__xludf.DUMMYFUNCTION("IMPORTRANGE(""https://docs.google.com/spreadsheets/d/1XL5vhW3sbDhbH9Cz0tuDiY8C3ctxq1tqvaCgkFb8cCA/edit?usp=sharing"",""บุรีรัมย์!J138"")"),0)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IFERROR(__xludf.DUMMYFUNCTION("IMPORTRANGE(""https://docs.google.com/spreadsheets/d/1XL5vhW3sbDhbH9Cz0tuDiY8C3ctxq1tqvaCgkFb8cCA/edit?usp=sharing"",""บุรีรัมย์!I140"")"),0)</f>
        <v>0</v>
      </c>
      <c r="J215" s="204">
        <f ca="1">IFERROR(__xludf.DUMMYFUNCTION("IMPORTRANGE(""https://docs.google.com/spreadsheets/d/1XL5vhW3sbDhbH9Cz0tuDiY8C3ctxq1tqvaCgkFb8cCA/edit?usp=sharing"",""บุรีรัมย์!J140"")"),0)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IFERROR(__xludf.DUMMYFUNCTION("IMPORTRANGE(""https://docs.google.com/spreadsheets/d/1XL5vhW3sbDhbH9Cz0tuDiY8C3ctxq1tqvaCgkFb8cCA/edit?usp=sharing"",""บุรีรัมย์!I141"")"),0)</f>
        <v>0</v>
      </c>
      <c r="J216" s="204">
        <f ca="1">IFERROR(__xludf.DUMMYFUNCTION("IMPORTRANGE(""https://docs.google.com/spreadsheets/d/1XL5vhW3sbDhbH9Cz0tuDiY8C3ctxq1tqvaCgkFb8cCA/edit?usp=sharing"",""บุรีรัมย์!J141"")"),0)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IFERROR(__xludf.DUMMYFUNCTION("IMPORTRANGE(""https://docs.google.com/spreadsheets/d/1XL5vhW3sbDhbH9Cz0tuDiY8C3ctxq1tqvaCgkFb8cCA/edit?usp=sharing"",""บุรีรัมย์!J142"")"),0)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IFERROR(__xludf.DUMMYFUNCTION("IMPORTRANGE(""https://docs.google.com/spreadsheets/d/1XL5vhW3sbDhbH9Cz0tuDiY8C3ctxq1tqvaCgkFb8cCA/edit?usp=sharing"",""บุรีรัมย์!J143"")"),0)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IFERROR(__xludf.DUMMYFUNCTION("IMPORTRANGE(""https://docs.google.com/spreadsheets/d/1XL5vhW3sbDhbH9Cz0tuDiY8C3ctxq1tqvaCgkFb8cCA/edit?usp=sharing"",""บุรีรัมย์!I144"")"),15)</f>
        <v>15</v>
      </c>
      <c r="J219" s="267">
        <f ca="1">IFERROR(__xludf.DUMMYFUNCTION("IMPORTRANGE(""https://docs.google.com/spreadsheets/d/1XL5vhW3sbDhbH9Cz0tuDiY8C3ctxq1tqvaCgkFb8cCA/edit?usp=sharing"",""บุรีรัมย์!J144"")"),15)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54" t="s">
        <v>17</v>
      </c>
      <c r="E220" s="555"/>
      <c r="F220" s="555"/>
      <c r="G220" s="55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19732</v>
      </c>
      <c r="O220" s="151">
        <f t="shared" ref="O220:O222" ca="1" si="73">IF(L220&gt;0,N220*100/L220,0)</f>
        <v>93.40591715976332</v>
      </c>
      <c r="P220" s="151">
        <f t="shared" ref="P220:P222" ca="1" si="74">IF(M220&gt;0,N220*100/M220,0)</f>
        <v>93.40591715976332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19732</v>
      </c>
      <c r="O222" s="156">
        <f t="shared" ca="1" si="73"/>
        <v>93.40591715976332</v>
      </c>
      <c r="P222" s="156">
        <f t="shared" ca="1" si="74"/>
        <v>93.40591715976332</v>
      </c>
    </row>
    <row r="223" spans="1:16" ht="21.75" customHeight="1" x14ac:dyDescent="0.45">
      <c r="A223" s="158"/>
      <c r="B223" s="159"/>
      <c r="C223" s="159" t="s">
        <v>16</v>
      </c>
      <c r="D223" s="552" t="s">
        <v>20</v>
      </c>
      <c r="E223" s="553"/>
      <c r="F223" s="55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537">
        <f ca="1">IFERROR(__xludf.DUMMYFUNCTION("IMPORTRANGE(""https://docs.google.com/spreadsheets/d/1Yj_ptqi66GCucihVvJfMjLAmec39IyEx_6qawtMGysU/edit?usp=sharing"",""สบก!BS44"")"),21125)</f>
        <v>21125</v>
      </c>
      <c r="N224" s="538">
        <f ca="1">IFERROR(__xludf.DUMMYFUNCTION("IMPORTRANGE(""https://docs.google.com/spreadsheets/d/1Yj_ptqi66GCucihVvJfMjLAmec39IyEx_6qawtMGysU/edit?usp=sharing"",""สบก!BT44"")"),19732)</f>
        <v>19732</v>
      </c>
      <c r="O224" s="169">
        <f ca="1">IF(L224&gt;0,N224*100/L224,0)</f>
        <v>93.40591715976332</v>
      </c>
      <c r="P224" s="169">
        <f ca="1">IF(M224&gt;0,N224*100/M224,0)</f>
        <v>93.40591715976332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537">
        <f ca="1">IFERROR(__xludf.DUMMYFUNCTION("IMPORTRANGE(""https://docs.google.com/spreadsheets/d/1Yj_ptqi66GCucihVvJfMjLAmec39IyEx_6qawtMGysU/edit?usp=sharing"",""สบก!BO44"")"),0)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537">
        <f ca="1">IFERROR(__xludf.DUMMYFUNCTION("IMPORTRANGE(""https://docs.google.com/spreadsheets/d/1Yj_ptqi66GCucihVvJfMjLAmec39IyEx_6qawtMGysU/edit?usp=sharing"",""สบก!BP44"")"),21125)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52" t="s">
        <v>23</v>
      </c>
      <c r="E227" s="553"/>
      <c r="F227" s="89"/>
      <c r="G227" s="82" t="s">
        <v>18</v>
      </c>
      <c r="H227" s="172" t="s">
        <v>12</v>
      </c>
      <c r="I227" s="201"/>
      <c r="J227" s="201"/>
      <c r="K227" s="290"/>
      <c r="L227" s="535">
        <v>0</v>
      </c>
      <c r="M227" s="535"/>
      <c r="N227" s="41"/>
      <c r="O227" s="535"/>
      <c r="P227" s="535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533">
        <f ca="1">IFERROR(__xludf.DUMMYFUNCTION("IMPORTRANGE(""https://docs.google.com/spreadsheets/d/1Yj_ptqi66GCucihVvJfMjLAmec39IyEx_6qawtMGysU/edit?usp=sharing"",""สบก!BQ44"")"),0)</f>
        <v>0</v>
      </c>
      <c r="M228" s="536"/>
      <c r="N228" s="533">
        <f ca="1">IFERROR(__xludf.DUMMYFUNCTION("IMPORTRANGE(""https://docs.google.com/spreadsheets/d/1Yj_ptqi66GCucihVvJfMjLAmec39IyEx_6qawtMGysU/edit?usp=sharing"",""สบก!BU44"")"),0)</f>
        <v>0</v>
      </c>
      <c r="O228" s="536">
        <f ca="1">IF(L228&gt;0,N228*100/L228,0)</f>
        <v>0</v>
      </c>
      <c r="P228" s="536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IFERROR(__xludf.DUMMYFUNCTION("IMPORTRANGE(""https://docs.google.com/spreadsheets/d/1XL5vhW3sbDhbH9Cz0tuDiY8C3ctxq1tqvaCgkFb8cCA/edit?usp=sharing"",""บุรีรัมย์!I149"")"),15)</f>
        <v>15</v>
      </c>
      <c r="J229" s="267">
        <f ca="1">IFERROR(__xludf.DUMMYFUNCTION("IMPORTRANGE(""https://docs.google.com/spreadsheets/d/1XL5vhW3sbDhbH9Cz0tuDiY8C3ctxq1tqvaCgkFb8cCA/edit?usp=sharing"",""บุรีรัมย์!J149"")"),15)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IFERROR(__xludf.DUMMYFUNCTION("IMPORTRANGE(""https://docs.google.com/spreadsheets/d/1XL5vhW3sbDhbH9Cz0tuDiY8C3ctxq1tqvaCgkFb8cCA/edit?usp=sharing"",""บุรีรัมย์!J151"")"),0)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IFERROR(__xludf.DUMMYFUNCTION("IMPORTRANGE(""https://docs.google.com/spreadsheets/d/1XL5vhW3sbDhbH9Cz0tuDiY8C3ctxq1tqvaCgkFb8cCA/edit?usp=sharing"",""บุรีรัมย์!J152"")"),1)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IFERROR(__xludf.DUMMYFUNCTION("IMPORTRANGE(""https://docs.google.com/spreadsheets/d/1XL5vhW3sbDhbH9Cz0tuDiY8C3ctxq1tqvaCgkFb8cCA/edit?usp=sharing"",""บุรีรัมย์!J153"")"),1)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IFERROR(__xludf.DUMMYFUNCTION("IMPORTRANGE(""https://docs.google.com/spreadsheets/d/1XL5vhW3sbDhbH9Cz0tuDiY8C3ctxq1tqvaCgkFb8cCA/edit?usp=sharing"",""บุรีรัมย์!J154"")"),1)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IFERROR(__xludf.DUMMYFUNCTION("IMPORTRANGE(""https://docs.google.com/spreadsheets/d/1XL5vhW3sbDhbH9Cz0tuDiY8C3ctxq1tqvaCgkFb8cCA/edit?usp=sharing"",""บุรีรัมย์!I155"")"),15)</f>
        <v>15</v>
      </c>
      <c r="J235" s="189">
        <f ca="1">IFERROR(__xludf.DUMMYFUNCTION("IMPORTRANGE(""https://docs.google.com/spreadsheets/d/1XL5vhW3sbDhbH9Cz0tuDiY8C3ctxq1tqvaCgkFb8cCA/edit?usp=sharing"",""บุรีรัมย์!J155"")"),15)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IFERROR(__xludf.DUMMYFUNCTION("IMPORTRANGE(""https://docs.google.com/spreadsheets/d/1XL5vhW3sbDhbH9Cz0tuDiY8C3ctxq1tqvaCgkFb8cCA/edit?usp=sharing"",""บุรีรัมย์!J156"")"),0)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IFERROR(__xludf.DUMMYFUNCTION("IMPORTRANGE(""https://docs.google.com/spreadsheets/d/1XL5vhW3sbDhbH9Cz0tuDiY8C3ctxq1tqvaCgkFb8cCA/edit?usp=sharing"",""บุรีรัมย์!J157"")"),0)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IFERROR(__xludf.DUMMYFUNCTION("IMPORTRANGE(""https://docs.google.com/spreadsheets/d/1XL5vhW3sbDhbH9Cz0tuDiY8C3ctxq1tqvaCgkFb8cCA/edit?usp=sharing"",""บุรีรัมย์!I158"")"),0)</f>
        <v>0</v>
      </c>
      <c r="J238" s="267">
        <f ca="1">IFERROR(__xludf.DUMMYFUNCTION("IMPORTRANGE(""https://docs.google.com/spreadsheets/d/1XL5vhW3sbDhbH9Cz0tuDiY8C3ctxq1tqvaCgkFb8cCA/edit?usp=sharing"",""บุรีรัมย์!J158"")"),0)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IFERROR(__xludf.DUMMYFUNCTION("IMPORTRANGE(""https://docs.google.com/spreadsheets/d/1XL5vhW3sbDhbH9Cz0tuDiY8C3ctxq1tqvaCgkFb8cCA/edit?usp=sharing"",""บุรีรัมย์!J159"")"),"")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IFERROR(__xludf.DUMMYFUNCTION("IMPORTRANGE(""https://docs.google.com/spreadsheets/d/1XL5vhW3sbDhbH9Cz0tuDiY8C3ctxq1tqvaCgkFb8cCA/edit?usp=sharing"",""บุรีรัมย์!J161"")"),0)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IFERROR(__xludf.DUMMYFUNCTION("IMPORTRANGE(""https://docs.google.com/spreadsheets/d/1XL5vhW3sbDhbH9Cz0tuDiY8C3ctxq1tqvaCgkFb8cCA/edit?usp=sharing"",""บุรีรัมย์!J162"")"),0)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IFERROR(__xludf.DUMMYFUNCTION("IMPORTRANGE(""https://docs.google.com/spreadsheets/d/1XL5vhW3sbDhbH9Cz0tuDiY8C3ctxq1tqvaCgkFb8cCA/edit?usp=sharing"",""บุรีรัมย์!J163"")"),0)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IFERROR(__xludf.DUMMYFUNCTION("IMPORTRANGE(""https://docs.google.com/spreadsheets/d/1XL5vhW3sbDhbH9Cz0tuDiY8C3ctxq1tqvaCgkFb8cCA/edit?usp=sharing"",""บุรีรัมย์!I164"")"),0)</f>
        <v>0</v>
      </c>
      <c r="J244" s="188">
        <f ca="1">IFERROR(__xludf.DUMMYFUNCTION("IMPORTRANGE(""https://docs.google.com/spreadsheets/d/1XL5vhW3sbDhbH9Cz0tuDiY8C3ctxq1tqvaCgkFb8cCA/edit?usp=sharing"",""บุรีรัมย์!J164"")"),0)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IFERROR(__xludf.DUMMYFUNCTION("IMPORTRANGE(""https://docs.google.com/spreadsheets/d/1XL5vhW3sbDhbH9Cz0tuDiY8C3ctxq1tqvaCgkFb8cCA/edit?usp=sharing"",""บุรีรัมย์!J165"")"),0)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IFERROR(__xludf.DUMMYFUNCTION("IMPORTRANGE(""https://docs.google.com/spreadsheets/d/1XL5vhW3sbDhbH9Cz0tuDiY8C3ctxq1tqvaCgkFb8cCA/edit?usp=sharing"",""บุรีรัมย์!J166"")"),0)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IFERROR(__xludf.DUMMYFUNCTION("IMPORTRANGE(""https://docs.google.com/spreadsheets/d/1XL5vhW3sbDhbH9Cz0tuDiY8C3ctxq1tqvaCgkFb8cCA/edit?usp=sharing"",""บุรีรัมย์!I169"")"),25)</f>
        <v>25</v>
      </c>
      <c r="J249" s="316">
        <f ca="1">IFERROR(__xludf.DUMMYFUNCTION("IMPORTRANGE(""https://docs.google.com/spreadsheets/d/1XL5vhW3sbDhbH9Cz0tuDiY8C3ctxq1tqvaCgkFb8cCA/edit?usp=sharing"",""บุรีรัมย์!J169"")"),25)</f>
        <v>25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54" t="s">
        <v>17</v>
      </c>
      <c r="E250" s="555"/>
      <c r="F250" s="555"/>
      <c r="G250" s="555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47500</v>
      </c>
      <c r="N250" s="152">
        <f t="shared" ca="1" si="77"/>
        <v>47220</v>
      </c>
      <c r="O250" s="151">
        <f t="shared" ref="O250:O252" ca="1" si="78">IF(L250&gt;0,N250*100/L250,0)</f>
        <v>53.056179775280896</v>
      </c>
      <c r="P250" s="151">
        <f t="shared" ref="P250:P252" ca="1" si="79">IF(M250&gt;0,N250*100/M250,0)</f>
        <v>99.410526315789468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89000</v>
      </c>
      <c r="M252" s="157">
        <f t="shared" ca="1" si="81"/>
        <v>47500</v>
      </c>
      <c r="N252" s="157">
        <f t="shared" ca="1" si="81"/>
        <v>47220</v>
      </c>
      <c r="O252" s="156">
        <f t="shared" ca="1" si="78"/>
        <v>53.056179775280896</v>
      </c>
      <c r="P252" s="156">
        <f t="shared" ca="1" si="79"/>
        <v>99.410526315789468</v>
      </c>
    </row>
    <row r="253" spans="1:16" ht="21.75" customHeight="1" x14ac:dyDescent="0.45">
      <c r="A253" s="158"/>
      <c r="B253" s="159"/>
      <c r="C253" s="159" t="s">
        <v>16</v>
      </c>
      <c r="D253" s="552" t="s">
        <v>20</v>
      </c>
      <c r="E253" s="553"/>
      <c r="F253" s="55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89000</v>
      </c>
      <c r="M254" s="537">
        <f ca="1">IFERROR(__xludf.DUMMYFUNCTION("IMPORTRANGE(""https://docs.google.com/spreadsheets/d/1Yj_ptqi66GCucihVvJfMjLAmec39IyEx_6qawtMGysU/edit?usp=sharing"",""สบก!CB44"")"),47500)</f>
        <v>47500</v>
      </c>
      <c r="N254" s="538">
        <f ca="1">IFERROR(__xludf.DUMMYFUNCTION("IMPORTRANGE(""https://docs.google.com/spreadsheets/d/1Yj_ptqi66GCucihVvJfMjLAmec39IyEx_6qawtMGysU/edit?usp=sharing"",""สบก!CC44"")"),47220)</f>
        <v>47220</v>
      </c>
      <c r="O254" s="169">
        <f ca="1">IF(L254&gt;0,N254*100/L254,0)</f>
        <v>53.056179775280896</v>
      </c>
      <c r="P254" s="169">
        <f ca="1">IF(M254&gt;0,N254*100/M254,0)</f>
        <v>99.410526315789468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537">
        <f ca="1">IFERROR(__xludf.DUMMYFUNCTION("IMPORTRANGE(""https://docs.google.com/spreadsheets/d/1Yj_ptqi66GCucihVvJfMjLAmec39IyEx_6qawtMGysU/edit?usp=sharing"",""สบก!BX44"")"),0)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537">
        <f ca="1">IFERROR(__xludf.DUMMYFUNCTION("IMPORTRANGE(""https://docs.google.com/spreadsheets/d/1Yj_ptqi66GCucihVvJfMjLAmec39IyEx_6qawtMGysU/edit?usp=sharing"",""สบก!BY44"")"),89000)</f>
        <v>89000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52" t="s">
        <v>23</v>
      </c>
      <c r="E257" s="553"/>
      <c r="F257" s="89"/>
      <c r="G257" s="82" t="s">
        <v>18</v>
      </c>
      <c r="H257" s="172" t="s">
        <v>12</v>
      </c>
      <c r="I257" s="162"/>
      <c r="J257" s="162"/>
      <c r="K257" s="163"/>
      <c r="L257" s="535">
        <v>0</v>
      </c>
      <c r="M257" s="535"/>
      <c r="N257" s="41"/>
      <c r="O257" s="535"/>
      <c r="P257" s="535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533">
        <f ca="1">IFERROR(__xludf.DUMMYFUNCTION("IMPORTRANGE(""https://docs.google.com/spreadsheets/d/1Yj_ptqi66GCucihVvJfMjLAmec39IyEx_6qawtMGysU/edit?usp=sharing"",""สบก!BZ44"")"),0)</f>
        <v>0</v>
      </c>
      <c r="M258" s="536"/>
      <c r="N258" s="533">
        <f ca="1">IFERROR(__xludf.DUMMYFUNCTION("IMPORTRANGE(""https://docs.google.com/spreadsheets/d/1Yj_ptqi66GCucihVvJfMjLAmec39IyEx_6qawtMGysU/edit?usp=sharing"",""สบก!CD44"")"),0)</f>
        <v>0</v>
      </c>
      <c r="O258" s="536">
        <f ca="1">IF(L258&gt;0,N258*100/L258,0)</f>
        <v>0</v>
      </c>
      <c r="P258" s="536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IFERROR(__xludf.DUMMYFUNCTION("IMPORTRANGE(""https://docs.google.com/spreadsheets/d/1XL5vhW3sbDhbH9Cz0tuDiY8C3ctxq1tqvaCgkFb8cCA/edit?usp=sharing"",""บุรีรัมย์!J175"")"),0)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IFERROR(__xludf.DUMMYFUNCTION("IMPORTRANGE(""https://docs.google.com/spreadsheets/d/1XL5vhW3sbDhbH9Cz0tuDiY8C3ctxq1tqvaCgkFb8cCA/edit?usp=sharing"",""บุรีรัมย์!J176"")"),1)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IFERROR(__xludf.DUMMYFUNCTION("IMPORTRANGE(""https://docs.google.com/spreadsheets/d/1XL5vhW3sbDhbH9Cz0tuDiY8C3ctxq1tqvaCgkFb8cCA/edit?usp=sharing"",""บุรีรัมย์!J177"")"),1)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IFERROR(__xludf.DUMMYFUNCTION("IMPORTRANGE(""https://docs.google.com/spreadsheets/d/1XL5vhW3sbDhbH9Cz0tuDiY8C3ctxq1tqvaCgkFb8cCA/edit?usp=sharing"",""บุรีรัมย์!J178"")"),1)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IFERROR(__xludf.DUMMYFUNCTION("IMPORTRANGE(""https://docs.google.com/spreadsheets/d/1XL5vhW3sbDhbH9Cz0tuDiY8C3ctxq1tqvaCgkFb8cCA/edit?usp=sharing"",""บุรีรัมย์!I179"")"),1)</f>
        <v>1</v>
      </c>
      <c r="J264" s="189">
        <f ca="1">IFERROR(__xludf.DUMMYFUNCTION("IMPORTRANGE(""https://docs.google.com/spreadsheets/d/1XL5vhW3sbDhbH9Cz0tuDiY8C3ctxq1tqvaCgkFb8cCA/edit?usp=sharing"",""บุรีรัมย์!J179"")"),1)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IFERROR(__xludf.DUMMYFUNCTION("IMPORTRANGE(""https://docs.google.com/spreadsheets/d/1XL5vhW3sbDhbH9Cz0tuDiY8C3ctxq1tqvaCgkFb8cCA/edit?usp=sharing"",""บุรีรัมย์!I180"")"),25)</f>
        <v>25</v>
      </c>
      <c r="J265" s="189">
        <f ca="1">IFERROR(__xludf.DUMMYFUNCTION("IMPORTRANGE(""https://docs.google.com/spreadsheets/d/1XL5vhW3sbDhbH9Cz0tuDiY8C3ctxq1tqvaCgkFb8cCA/edit?usp=sharing"",""บุรีรัมย์!J180"")"),25)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IFERROR(__xludf.DUMMYFUNCTION("IMPORTRANGE(""https://docs.google.com/spreadsheets/d/1XL5vhW3sbDhbH9Cz0tuDiY8C3ctxq1tqvaCgkFb8cCA/edit?usp=sharing"",""บุรีรัมย์!I181"")"),25)</f>
        <v>25</v>
      </c>
      <c r="J266" s="189">
        <f ca="1">IFERROR(__xludf.DUMMYFUNCTION("IMPORTRANGE(""https://docs.google.com/spreadsheets/d/1XL5vhW3sbDhbH9Cz0tuDiY8C3ctxq1tqvaCgkFb8cCA/edit?usp=sharing"",""บุรีรัมย์!J181"")"),0)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IFERROR(__xludf.DUMMYFUNCTION("IMPORTRANGE(""https://docs.google.com/spreadsheets/d/1XL5vhW3sbDhbH9Cz0tuDiY8C3ctxq1tqvaCgkFb8cCA/edit?usp=sharing"",""บุรีรัมย์!I182"")"),1)</f>
        <v>1</v>
      </c>
      <c r="J267" s="189">
        <f ca="1">IFERROR(__xludf.DUMMYFUNCTION("IMPORTRANGE(""https://docs.google.com/spreadsheets/d/1XL5vhW3sbDhbH9Cz0tuDiY8C3ctxq1tqvaCgkFb8cCA/edit?usp=sharing"",""บุรีรัมย์!J182"")"),1)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IFERROR(__xludf.DUMMYFUNCTION("IMPORTRANGE(""https://docs.google.com/spreadsheets/d/1XL5vhW3sbDhbH9Cz0tuDiY8C3ctxq1tqvaCgkFb8cCA/edit?usp=sharing"",""บุรีรัมย์!J183"")"),0)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IFERROR(__xludf.DUMMYFUNCTION("IMPORTRANGE(""https://docs.google.com/spreadsheets/d/1XL5vhW3sbDhbH9Cz0tuDiY8C3ctxq1tqvaCgkFb8cCA/edit?usp=sharing"",""บุรีรัมย์!J184"")"),0)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IFERROR(__xludf.DUMMYFUNCTION("IMPORTRANGE(""https://docs.google.com/spreadsheets/d/1XL5vhW3sbDhbH9Cz0tuDiY8C3ctxq1tqvaCgkFb8cCA/edit?usp=sharing"",""บุรีรัมย์!I185"")"),20)</f>
        <v>20</v>
      </c>
      <c r="J270" s="316">
        <f ca="1">IFERROR(__xludf.DUMMYFUNCTION("IMPORTRANGE(""https://docs.google.com/spreadsheets/d/1XL5vhW3sbDhbH9Cz0tuDiY8C3ctxq1tqvaCgkFb8cCA/edit?usp=sharing"",""บุรีรัมย์!J185"")"),20)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54" t="s">
        <v>17</v>
      </c>
      <c r="E271" s="555"/>
      <c r="F271" s="555"/>
      <c r="G271" s="555"/>
      <c r="H271" s="149" t="s">
        <v>12</v>
      </c>
      <c r="I271" s="162"/>
      <c r="J271" s="162"/>
      <c r="K271" s="163"/>
      <c r="L271" s="152">
        <f t="shared" ref="L271:N271" ca="1" si="83">L272+L273</f>
        <v>447600</v>
      </c>
      <c r="M271" s="152">
        <f t="shared" ca="1" si="83"/>
        <v>359600</v>
      </c>
      <c r="N271" s="152">
        <f t="shared" ca="1" si="83"/>
        <v>229480</v>
      </c>
      <c r="O271" s="151">
        <f t="shared" ref="O271:O273" ca="1" si="84">IF(L271&gt;0,N271*100/L271,0)</f>
        <v>51.268990169794456</v>
      </c>
      <c r="P271" s="151">
        <f t="shared" ref="P271:P273" ca="1" si="85">IF(M271&gt;0,N271*100/M271,0)</f>
        <v>63.815350389321466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447600</v>
      </c>
      <c r="M273" s="157">
        <f t="shared" ca="1" si="87"/>
        <v>359600</v>
      </c>
      <c r="N273" s="157">
        <f t="shared" ca="1" si="87"/>
        <v>229480</v>
      </c>
      <c r="O273" s="156">
        <f t="shared" ca="1" si="84"/>
        <v>51.268990169794456</v>
      </c>
      <c r="P273" s="156">
        <f t="shared" ca="1" si="85"/>
        <v>63.815350389321466</v>
      </c>
    </row>
    <row r="274" spans="1:16" ht="21.75" customHeight="1" x14ac:dyDescent="0.45">
      <c r="A274" s="158"/>
      <c r="B274" s="159"/>
      <c r="C274" s="159" t="s">
        <v>16</v>
      </c>
      <c r="D274" s="552" t="s">
        <v>20</v>
      </c>
      <c r="E274" s="553"/>
      <c r="F274" s="55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447600</v>
      </c>
      <c r="M275" s="537">
        <f ca="1">IFERROR(__xludf.DUMMYFUNCTION("IMPORTRANGE(""https://docs.google.com/spreadsheets/d/1Yj_ptqi66GCucihVvJfMjLAmec39IyEx_6qawtMGysU/edit?usp=sharing"",""สบก!CK44"")"),359600)</f>
        <v>359600</v>
      </c>
      <c r="N275" s="538">
        <f ca="1">IFERROR(__xludf.DUMMYFUNCTION("IMPORTRANGE(""https://docs.google.com/spreadsheets/d/1Yj_ptqi66GCucihVvJfMjLAmec39IyEx_6qawtMGysU/edit?usp=sharing"",""สบก!CL44"")"),229480)</f>
        <v>229480</v>
      </c>
      <c r="O275" s="169">
        <f ca="1">IF(L275&gt;0,N275*100/L275,0)</f>
        <v>51.268990169794456</v>
      </c>
      <c r="P275" s="169">
        <f ca="1">IF(M275&gt;0,N275*100/M275,0)</f>
        <v>63.815350389321466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537">
        <f ca="1">IFERROR(__xludf.DUMMYFUNCTION("IMPORTRANGE(""https://docs.google.com/spreadsheets/d/1Yj_ptqi66GCucihVvJfMjLAmec39IyEx_6qawtMGysU/edit?usp=sharing"",""สบก!CG44"")"),264000)</f>
        <v>264000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537">
        <f ca="1">IFERROR(__xludf.DUMMYFUNCTION("IMPORTRANGE(""https://docs.google.com/spreadsheets/d/1Yj_ptqi66GCucihVvJfMjLAmec39IyEx_6qawtMGysU/edit?usp=sharing"",""สบก!CH44"")"),183600)</f>
        <v>183600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52" t="s">
        <v>23</v>
      </c>
      <c r="E278" s="553"/>
      <c r="F278" s="89"/>
      <c r="G278" s="82" t="s">
        <v>18</v>
      </c>
      <c r="H278" s="172" t="s">
        <v>12</v>
      </c>
      <c r="I278" s="162"/>
      <c r="J278" s="162"/>
      <c r="K278" s="163"/>
      <c r="L278" s="535">
        <v>0</v>
      </c>
      <c r="M278" s="535"/>
      <c r="N278" s="41"/>
      <c r="O278" s="535"/>
      <c r="P278" s="535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533">
        <f ca="1">IFERROR(__xludf.DUMMYFUNCTION("IMPORTRANGE(""https://docs.google.com/spreadsheets/d/1Yj_ptqi66GCucihVvJfMjLAmec39IyEx_6qawtMGysU/edit?usp=sharing"",""สบก!CI44"")"),0)</f>
        <v>0</v>
      </c>
      <c r="M279" s="536"/>
      <c r="N279" s="533">
        <f ca="1">IFERROR(__xludf.DUMMYFUNCTION("IMPORTRANGE(""https://docs.google.com/spreadsheets/d/1Yj_ptqi66GCucihVvJfMjLAmec39IyEx_6qawtMGysU/edit?usp=sharing"",""สบก!CM44"")"),0)</f>
        <v>0</v>
      </c>
      <c r="O279" s="536">
        <f ca="1">IF(L279&gt;0,N279*100/L279,0)</f>
        <v>0</v>
      </c>
      <c r="P279" s="536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IFERROR(__xludf.DUMMYFUNCTION("IMPORTRANGE(""https://docs.google.com/spreadsheets/d/1XL5vhW3sbDhbH9Cz0tuDiY8C3ctxq1tqvaCgkFb8cCA/edit?usp=sharing"",""บุรีรัมย์!J191"")"),0)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IFERROR(__xludf.DUMMYFUNCTION("IMPORTRANGE(""https://docs.google.com/spreadsheets/d/1XL5vhW3sbDhbH9Cz0tuDiY8C3ctxq1tqvaCgkFb8cCA/edit?usp=sharing"",""บุรีรัมย์!J192"")"),1)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IFERROR(__xludf.DUMMYFUNCTION("IMPORTRANGE(""https://docs.google.com/spreadsheets/d/1XL5vhW3sbDhbH9Cz0tuDiY8C3ctxq1tqvaCgkFb8cCA/edit?usp=sharing"",""บุรีรัมย์!J193"")"),1)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IFERROR(__xludf.DUMMYFUNCTION("IMPORTRANGE(""https://docs.google.com/spreadsheets/d/1XL5vhW3sbDhbH9Cz0tuDiY8C3ctxq1tqvaCgkFb8cCA/edit?usp=sharing"",""บุรีรัมย์!J194"")"),1)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IFERROR(__xludf.DUMMYFUNCTION("IMPORTRANGE(""https://docs.google.com/spreadsheets/d/1XL5vhW3sbDhbH9Cz0tuDiY8C3ctxq1tqvaCgkFb8cCA/edit?usp=sharing"",""บุรีรัมย์!I195"")"),20)</f>
        <v>20</v>
      </c>
      <c r="J285" s="189">
        <f ca="1">IFERROR(__xludf.DUMMYFUNCTION("IMPORTRANGE(""https://docs.google.com/spreadsheets/d/1XL5vhW3sbDhbH9Cz0tuDiY8C3ctxq1tqvaCgkFb8cCA/edit?usp=sharing"",""บุรีรัมย์!J195"")"),20)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IFERROR(__xludf.DUMMYFUNCTION("IMPORTRANGE(""https://docs.google.com/spreadsheets/d/1XL5vhW3sbDhbH9Cz0tuDiY8C3ctxq1tqvaCgkFb8cCA/edit?usp=sharing"",""บุรีรัมย์!J196"")"),0)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IFERROR(__xludf.DUMMYFUNCTION("IMPORTRANGE(""https://docs.google.com/spreadsheets/d/1XL5vhW3sbDhbH9Cz0tuDiY8C3ctxq1tqvaCgkFb8cCA/edit?usp=sharing"",""บุรีรัมย์!J197"")"),0)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IFERROR(__xludf.DUMMYFUNCTION("IMPORTRANGE(""https://docs.google.com/spreadsheets/d/1XL5vhW3sbDhbH9Cz0tuDiY8C3ctxq1tqvaCgkFb8cCA/edit?usp=sharing"",""บุรีรัมย์!I199"")"),0)</f>
        <v>0</v>
      </c>
      <c r="J289" s="316">
        <f ca="1">IFERROR(__xludf.DUMMYFUNCTION("IMPORTRANGE(""https://docs.google.com/spreadsheets/d/1XL5vhW3sbDhbH9Cz0tuDiY8C3ctxq1tqvaCgkFb8cCA/edit?usp=sharing"",""บุรีรัมย์!J199"")"),0)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54" t="s">
        <v>17</v>
      </c>
      <c r="E290" s="555"/>
      <c r="F290" s="555"/>
      <c r="G290" s="55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52" t="s">
        <v>20</v>
      </c>
      <c r="E293" s="553"/>
      <c r="F293" s="55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537">
        <f ca="1">IFERROR(__xludf.DUMMYFUNCTION("IMPORTRANGE(""https://docs.google.com/spreadsheets/d/1Yj_ptqi66GCucihVvJfMjLAmec39IyEx_6qawtMGysU/edit?usp=sharing"",""สบก!CT44"")"),0)</f>
        <v>0</v>
      </c>
      <c r="N294" s="538">
        <f ca="1">IFERROR(__xludf.DUMMYFUNCTION("IMPORTRANGE(""https://docs.google.com/spreadsheets/d/1Yj_ptqi66GCucihVvJfMjLAmec39IyEx_6qawtMGysU/edit?usp=sharing"",""สบก!CU44"")"),0)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537">
        <f ca="1">IFERROR(__xludf.DUMMYFUNCTION("IMPORTRANGE(""https://docs.google.com/spreadsheets/d/1Yj_ptqi66GCucihVvJfMjLAmec39IyEx_6qawtMGysU/edit?usp=sharing"",""สบก!CP44"")"),0)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537">
        <f ca="1">IFERROR(__xludf.DUMMYFUNCTION("IMPORTRANGE(""https://docs.google.com/spreadsheets/d/1Yj_ptqi66GCucihVvJfMjLAmec39IyEx_6qawtMGysU/edit?usp=sharing"",""สบก!CQ44"")"),0)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52" t="s">
        <v>23</v>
      </c>
      <c r="E297" s="553"/>
      <c r="F297" s="89"/>
      <c r="G297" s="82" t="s">
        <v>18</v>
      </c>
      <c r="H297" s="172" t="s">
        <v>12</v>
      </c>
      <c r="I297" s="188"/>
      <c r="J297" s="188"/>
      <c r="K297" s="224"/>
      <c r="L297" s="535">
        <v>0</v>
      </c>
      <c r="M297" s="535"/>
      <c r="N297" s="41"/>
      <c r="O297" s="535"/>
      <c r="P297" s="535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533">
        <f ca="1">IFERROR(__xludf.DUMMYFUNCTION("IMPORTRANGE(""https://docs.google.com/spreadsheets/d/1Yj_ptqi66GCucihVvJfMjLAmec39IyEx_6qawtMGysU/edit?usp=sharing"",""สบก!CR44"")"),0)</f>
        <v>0</v>
      </c>
      <c r="M298" s="536"/>
      <c r="N298" s="533">
        <f ca="1">IFERROR(__xludf.DUMMYFUNCTION("IMPORTRANGE(""https://docs.google.com/spreadsheets/d/1Yj_ptqi66GCucihVvJfMjLAmec39IyEx_6qawtMGysU/edit?usp=sharing"",""สบก!CV44"")"),0)</f>
        <v>0</v>
      </c>
      <c r="O298" s="536">
        <f ca="1">IF(L298&gt;0,N298*100/L298,0)</f>
        <v>0</v>
      </c>
      <c r="P298" s="536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IFERROR(__xludf.DUMMYFUNCTION("IMPORTRANGE(""https://docs.google.com/spreadsheets/d/1XL5vhW3sbDhbH9Cz0tuDiY8C3ctxq1tqvaCgkFb8cCA/edit?usp=sharing"",""บุรีรัมย์!J205"")"),0)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IFERROR(__xludf.DUMMYFUNCTION("IMPORTRANGE(""https://docs.google.com/spreadsheets/d/1XL5vhW3sbDhbH9Cz0tuDiY8C3ctxq1tqvaCgkFb8cCA/edit?usp=sharing"",""บุรีรัมย์!J206"")"),0)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IFERROR(__xludf.DUMMYFUNCTION("IMPORTRANGE(""https://docs.google.com/spreadsheets/d/1XL5vhW3sbDhbH9Cz0tuDiY8C3ctxq1tqvaCgkFb8cCA/edit?usp=sharing"",""บุรีรัมย์!J207"")"),0)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IFERROR(__xludf.DUMMYFUNCTION("IMPORTRANGE(""https://docs.google.com/spreadsheets/d/1XL5vhW3sbDhbH9Cz0tuDiY8C3ctxq1tqvaCgkFb8cCA/edit?usp=sharing"",""บุรีรัมย์!J208"")"),0)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IFERROR(__xludf.DUMMYFUNCTION("IMPORTRANGE(""https://docs.google.com/spreadsheets/d/1XL5vhW3sbDhbH9Cz0tuDiY8C3ctxq1tqvaCgkFb8cCA/edit?usp=sharing"",""บุรีรัมย์!I209"")"),0)</f>
        <v>0</v>
      </c>
      <c r="J304" s="204">
        <f ca="1">IFERROR(__xludf.DUMMYFUNCTION("IMPORTRANGE(""https://docs.google.com/spreadsheets/d/1XL5vhW3sbDhbH9Cz0tuDiY8C3ctxq1tqvaCgkFb8cCA/edit?usp=sharing"",""บุรีรัมย์!J209"")"),0)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IFERROR(__xludf.DUMMYFUNCTION("IMPORTRANGE(""https://docs.google.com/spreadsheets/d/1XL5vhW3sbDhbH9Cz0tuDiY8C3ctxq1tqvaCgkFb8cCA/edit?usp=sharing"",""บุรีรัมย์!I211"")"),0)</f>
        <v>0</v>
      </c>
      <c r="J306" s="204">
        <f ca="1">IFERROR(__xludf.DUMMYFUNCTION("IMPORTRANGE(""https://docs.google.com/spreadsheets/d/1XL5vhW3sbDhbH9Cz0tuDiY8C3ctxq1tqvaCgkFb8cCA/edit?usp=sharing"",""บุรีรัมย์!J211"")"),0)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IFERROR(__xludf.DUMMYFUNCTION("IMPORTRANGE(""https://docs.google.com/spreadsheets/d/1XL5vhW3sbDhbH9Cz0tuDiY8C3ctxq1tqvaCgkFb8cCA/edit?usp=sharing"",""บุรีรัมย์!J212"")"),0)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IFERROR(__xludf.DUMMYFUNCTION("IMPORTRANGE(""https://docs.google.com/spreadsheets/d/1XL5vhW3sbDhbH9Cz0tuDiY8C3ctxq1tqvaCgkFb8cCA/edit?usp=sharing"",""บุรีรัมย์!J213"")"),0)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IFERROR(__xludf.DUMMYFUNCTION("IMPORTRANGE(""https://docs.google.com/spreadsheets/d/1XL5vhW3sbDhbH9Cz0tuDiY8C3ctxq1tqvaCgkFb8cCA/edit?usp=sharing"",""บุรีรัมย์!I214"")"),0)</f>
        <v>0</v>
      </c>
      <c r="J309" s="333">
        <f ca="1">IFERROR(__xludf.DUMMYFUNCTION("IMPORTRANGE(""https://docs.google.com/spreadsheets/d/1XL5vhW3sbDhbH9Cz0tuDiY8C3ctxq1tqvaCgkFb8cCA/edit?usp=sharing"",""บุรีรัมย์!J214"")"),0)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54" t="s">
        <v>17</v>
      </c>
      <c r="E310" s="555"/>
      <c r="F310" s="555"/>
      <c r="G310" s="55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52" t="s">
        <v>20</v>
      </c>
      <c r="E313" s="553"/>
      <c r="F313" s="55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537">
        <f ca="1">IFERROR(__xludf.DUMMYFUNCTION("IMPORTRANGE(""https://docs.google.com/spreadsheets/d/1Yj_ptqi66GCucihVvJfMjLAmec39IyEx_6qawtMGysU/edit?usp=sharing"",""สบก!DC44"")"),0)</f>
        <v>0</v>
      </c>
      <c r="N314" s="538">
        <f ca="1">IFERROR(__xludf.DUMMYFUNCTION("IMPORTRANGE(""https://docs.google.com/spreadsheets/d/1Yj_ptqi66GCucihVvJfMjLAmec39IyEx_6qawtMGysU/edit?usp=sharing"",""สบก!DD44"")"),0)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537">
        <f ca="1">IFERROR(__xludf.DUMMYFUNCTION("IMPORTRANGE(""https://docs.google.com/spreadsheets/d/1Yj_ptqi66GCucihVvJfMjLAmec39IyEx_6qawtMGysU/edit?usp=sharing"",""สบก!CY44"")"),0)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537">
        <f ca="1">IFERROR(__xludf.DUMMYFUNCTION("IMPORTRANGE(""https://docs.google.com/spreadsheets/d/1Yj_ptqi66GCucihVvJfMjLAmec39IyEx_6qawtMGysU/edit?usp=sharing"",""สบก!CZ44"")"),0)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52" t="s">
        <v>23</v>
      </c>
      <c r="E317" s="553"/>
      <c r="F317" s="89"/>
      <c r="G317" s="82" t="s">
        <v>18</v>
      </c>
      <c r="H317" s="172" t="s">
        <v>12</v>
      </c>
      <c r="I317" s="162"/>
      <c r="J317" s="188"/>
      <c r="K317" s="224"/>
      <c r="L317" s="535">
        <v>0</v>
      </c>
      <c r="M317" s="535"/>
      <c r="N317" s="41"/>
      <c r="O317" s="535"/>
      <c r="P317" s="535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533">
        <f ca="1">IFERROR(__xludf.DUMMYFUNCTION("IMPORTRANGE(""https://docs.google.com/spreadsheets/d/1Yj_ptqi66GCucihVvJfMjLAmec39IyEx_6qawtMGysU/edit?usp=sharing"",""สบก!DA44"")"),0)</f>
        <v>0</v>
      </c>
      <c r="M318" s="536"/>
      <c r="N318" s="533">
        <f ca="1">IFERROR(__xludf.DUMMYFUNCTION("IMPORTRANGE(""https://docs.google.com/spreadsheets/d/1Yj_ptqi66GCucihVvJfMjLAmec39IyEx_6qawtMGysU/edit?usp=sharing"",""สบก!DE44"")"),0)</f>
        <v>0</v>
      </c>
      <c r="O318" s="536">
        <f ca="1">IF(L318&gt;0,N318*100/L318,0)</f>
        <v>0</v>
      </c>
      <c r="P318" s="536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IFERROR(__xludf.DUMMYFUNCTION("IMPORTRANGE(""https://docs.google.com/spreadsheets/d/1XL5vhW3sbDhbH9Cz0tuDiY8C3ctxq1tqvaCgkFb8cCA/edit?usp=sharing"",""บุรีรัมย์!J220"")"),0)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IFERROR(__xludf.DUMMYFUNCTION("IMPORTRANGE(""https://docs.google.com/spreadsheets/d/1XL5vhW3sbDhbH9Cz0tuDiY8C3ctxq1tqvaCgkFb8cCA/edit?usp=sharing"",""บุรีรัมย์!J221"")"),0)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IFERROR(__xludf.DUMMYFUNCTION("IMPORTRANGE(""https://docs.google.com/spreadsheets/d/1XL5vhW3sbDhbH9Cz0tuDiY8C3ctxq1tqvaCgkFb8cCA/edit?usp=sharing"",""บุรีรัมย์!J222"")"),0)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IFERROR(__xludf.DUMMYFUNCTION("IMPORTRANGE(""https://docs.google.com/spreadsheets/d/1XL5vhW3sbDhbH9Cz0tuDiY8C3ctxq1tqvaCgkFb8cCA/edit?usp=sharing"",""บุรีรัมย์!J223"")"),0)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IFERROR(__xludf.DUMMYFUNCTION("IMPORTRANGE(""https://docs.google.com/spreadsheets/d/1XL5vhW3sbDhbH9Cz0tuDiY8C3ctxq1tqvaCgkFb8cCA/edit?usp=sharing"",""บุรีรัมย์!I224"")"),0)</f>
        <v>0</v>
      </c>
      <c r="J324" s="204">
        <f ca="1">IFERROR(__xludf.DUMMYFUNCTION("IMPORTRANGE(""https://docs.google.com/spreadsheets/d/1XL5vhW3sbDhbH9Cz0tuDiY8C3ctxq1tqvaCgkFb8cCA/edit?usp=sharing"",""บุรีรัมย์!J224"")"),0)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IFERROR(__xludf.DUMMYFUNCTION("IMPORTRANGE(""https://docs.google.com/spreadsheets/d/1XL5vhW3sbDhbH9Cz0tuDiY8C3ctxq1tqvaCgkFb8cCA/edit?usp=sharing"",""บุรีรัมย์!J225"")"),0)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IFERROR(__xludf.DUMMYFUNCTION("IMPORTRANGE(""https://docs.google.com/spreadsheets/d/1XL5vhW3sbDhbH9Cz0tuDiY8C3ctxq1tqvaCgkFb8cCA/edit?usp=sharing"",""บุรีรัมย์!J226"")"),0)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IFERROR(__xludf.DUMMYFUNCTION("IMPORTRANGE(""https://docs.google.com/spreadsheets/d/1XL5vhW3sbDhbH9Cz0tuDiY8C3ctxq1tqvaCgkFb8cCA/edit?usp=sharing"",""บุรีรัมย์!I228"")"),880)</f>
        <v>880</v>
      </c>
      <c r="J328" s="339">
        <f ca="1">IFERROR(__xludf.DUMMYFUNCTION("IMPORTRANGE(""https://docs.google.com/spreadsheets/d/1XL5vhW3sbDhbH9Cz0tuDiY8C3ctxq1tqvaCgkFb8cCA/edit?usp=sharing"",""บุรีรัมย์!J228"")"),487)</f>
        <v>487</v>
      </c>
      <c r="K328" s="317">
        <f ca="1">IF(I328&gt;0,J328*100/I328,0)</f>
        <v>55.340909090909093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54" t="s">
        <v>17</v>
      </c>
      <c r="E329" s="555"/>
      <c r="F329" s="555"/>
      <c r="G329" s="555"/>
      <c r="H329" s="149" t="s">
        <v>12</v>
      </c>
      <c r="I329" s="162"/>
      <c r="J329" s="162"/>
      <c r="K329" s="163"/>
      <c r="L329" s="152">
        <f t="shared" ref="L329:N329" ca="1" si="98">L330+L331</f>
        <v>1468100</v>
      </c>
      <c r="M329" s="152">
        <f t="shared" ca="1" si="98"/>
        <v>1041460</v>
      </c>
      <c r="N329" s="152">
        <f t="shared" ca="1" si="98"/>
        <v>689746.83</v>
      </c>
      <c r="O329" s="151">
        <f t="shared" ref="O329:O331" ca="1" si="99">IF(L329&gt;0,N329*100/L329,0)</f>
        <v>46.982278455146108</v>
      </c>
      <c r="P329" s="151">
        <f t="shared" ref="P329:P331" ca="1" si="100">IF(M329&gt;0,N329*100/M329,0)</f>
        <v>66.228835480959418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1468100</v>
      </c>
      <c r="M331" s="157">
        <f t="shared" ca="1" si="102"/>
        <v>1041460</v>
      </c>
      <c r="N331" s="157">
        <f t="shared" ca="1" si="102"/>
        <v>689746.83</v>
      </c>
      <c r="O331" s="156">
        <f t="shared" ca="1" si="99"/>
        <v>46.982278455146108</v>
      </c>
      <c r="P331" s="156">
        <f t="shared" ca="1" si="100"/>
        <v>66.228835480959418</v>
      </c>
    </row>
    <row r="332" spans="1:16" ht="21.75" customHeight="1" x14ac:dyDescent="0.45">
      <c r="A332" s="158"/>
      <c r="B332" s="159"/>
      <c r="C332" s="159" t="s">
        <v>16</v>
      </c>
      <c r="D332" s="552" t="s">
        <v>20</v>
      </c>
      <c r="E332" s="553"/>
      <c r="F332" s="55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1462700</v>
      </c>
      <c r="M333" s="537">
        <f ca="1">IFERROR(__xludf.DUMMYFUNCTION("IMPORTRANGE(""https://docs.google.com/spreadsheets/d/1Yj_ptqi66GCucihVvJfMjLAmec39IyEx_6qawtMGysU/edit?usp=sharing"",""สบก!DL44"")"),1036060)</f>
        <v>1036060</v>
      </c>
      <c r="N333" s="538">
        <f ca="1">IFERROR(__xludf.DUMMYFUNCTION("IMPORTRANGE(""https://docs.google.com/spreadsheets/d/1Yj_ptqi66GCucihVvJfMjLAmec39IyEx_6qawtMGysU/edit?usp=sharing"",""สบก!DM44"")"),684346.83)</f>
        <v>684346.83</v>
      </c>
      <c r="O333" s="169">
        <f ca="1">IF(L333&gt;0,N333*100/L333,0)</f>
        <v>46.786547480686401</v>
      </c>
      <c r="P333" s="169">
        <f ca="1">IF(M333&gt;0,N333*100/M333,0)</f>
        <v>66.052818369592501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537">
        <f ca="1">IFERROR(__xludf.DUMMYFUNCTION("IMPORTRANGE(""https://docs.google.com/spreadsheets/d/1Yj_ptqi66GCucihVvJfMjLAmec39IyEx_6qawtMGysU/edit?usp=sharing"",""สบก!DH44"")"),442800)</f>
        <v>442800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537">
        <f ca="1">IFERROR(__xludf.DUMMYFUNCTION("IMPORTRANGE(""https://docs.google.com/spreadsheets/d/1Yj_ptqi66GCucihVvJfMjLAmec39IyEx_6qawtMGysU/edit?usp=sharing"",""สบก!DI44"")"),1019900)</f>
        <v>1019900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52" t="s">
        <v>23</v>
      </c>
      <c r="E336" s="553"/>
      <c r="F336" s="89"/>
      <c r="G336" s="82" t="s">
        <v>18</v>
      </c>
      <c r="H336" s="172" t="s">
        <v>12</v>
      </c>
      <c r="I336" s="162"/>
      <c r="J336" s="162"/>
      <c r="K336" s="163"/>
      <c r="L336" s="535">
        <v>0</v>
      </c>
      <c r="M336" s="535"/>
      <c r="N336" s="41"/>
      <c r="O336" s="535"/>
      <c r="P336" s="535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533">
        <f ca="1">IFERROR(__xludf.DUMMYFUNCTION("IMPORTRANGE(""https://docs.google.com/spreadsheets/d/1Yj_ptqi66GCucihVvJfMjLAmec39IyEx_6qawtMGysU/edit?usp=sharing"",""สบก!DJ44"")"),5400)</f>
        <v>5400</v>
      </c>
      <c r="M337" s="536">
        <f ca="1">L337</f>
        <v>5400</v>
      </c>
      <c r="N337" s="533">
        <f ca="1">IFERROR(__xludf.DUMMYFUNCTION("IMPORTRANGE(""https://docs.google.com/spreadsheets/d/1Yj_ptqi66GCucihVvJfMjLAmec39IyEx_6qawtMGysU/edit?usp=sharing"",""สบก!DN44"")"),5400)</f>
        <v>5400</v>
      </c>
      <c r="O337" s="536">
        <f ca="1">IF(L337&gt;0,N337*100/L337,0)</f>
        <v>100</v>
      </c>
      <c r="P337" s="536">
        <f ca="1">IF(M337&gt;0,N337*100/M337,0)</f>
        <v>100</v>
      </c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IFERROR(__xludf.DUMMYFUNCTION("IMPORTRANGE(""https://docs.google.com/spreadsheets/d/1XL5vhW3sbDhbH9Cz0tuDiY8C3ctxq1tqvaCgkFb8cCA/edit?usp=sharing"",""บุรีรัมย์!I234"")"),0)</f>
        <v>0</v>
      </c>
      <c r="J339" s="188">
        <f ca="1">IFERROR(__xludf.DUMMYFUNCTION("IMPORTRANGE(""https://docs.google.com/spreadsheets/d/1XL5vhW3sbDhbH9Cz0tuDiY8C3ctxq1tqvaCgkFb8cCA/edit?usp=sharing"",""บุรีรัมย์!J234"")"),836)</f>
        <v>836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IFERROR(__xludf.DUMMYFUNCTION("IMPORTRANGE(""https://docs.google.com/spreadsheets/d/1XL5vhW3sbDhbH9Cz0tuDiY8C3ctxq1tqvaCgkFb8cCA/edit?usp=sharing"",""บุรีรัมย์!I235"")"),7600)</f>
        <v>7600</v>
      </c>
      <c r="J340" s="188">
        <f ca="1">IFERROR(__xludf.DUMMYFUNCTION("IMPORTRANGE(""https://docs.google.com/spreadsheets/d/1XL5vhW3sbDhbH9Cz0tuDiY8C3ctxq1tqvaCgkFb8cCA/edit?usp=sharing"",""บุรีรัมย์!J235"")"),4942.51)</f>
        <v>4942.51</v>
      </c>
      <c r="K340" s="342">
        <f t="shared" ca="1" si="103"/>
        <v>65.033026315789471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IFERROR(__xludf.DUMMYFUNCTION("IMPORTRANGE(""https://docs.google.com/spreadsheets/d/1XL5vhW3sbDhbH9Cz0tuDiY8C3ctxq1tqvaCgkFb8cCA/edit?usp=sharing"",""บุรีรัมย์!I236"")"),880)</f>
        <v>880</v>
      </c>
      <c r="J341" s="188">
        <f ca="1">IFERROR(__xludf.DUMMYFUNCTION("IMPORTRANGE(""https://docs.google.com/spreadsheets/d/1XL5vhW3sbDhbH9Cz0tuDiY8C3ctxq1tqvaCgkFb8cCA/edit?usp=sharing"",""บุรีรัมย์!J236"")"),580)</f>
        <v>580</v>
      </c>
      <c r="K341" s="342">
        <f t="shared" ca="1" si="103"/>
        <v>65.909090909090907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IFERROR(__xludf.DUMMYFUNCTION("IMPORTRANGE(""https://docs.google.com/spreadsheets/d/1XL5vhW3sbDhbH9Cz0tuDiY8C3ctxq1tqvaCgkFb8cCA/edit?usp=sharing"",""บุรีรัมย์!I237"")"),0)</f>
        <v>0</v>
      </c>
      <c r="J342" s="188">
        <f ca="1">IFERROR(__xludf.DUMMYFUNCTION("IMPORTRANGE(""https://docs.google.com/spreadsheets/d/1XL5vhW3sbDhbH9Cz0tuDiY8C3ctxq1tqvaCgkFb8cCA/edit?usp=sharing"",""บุรีรัมย์!J237"")"),3851.84)</f>
        <v>3851.84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IFERROR(__xludf.DUMMYFUNCTION("IMPORTRANGE(""https://docs.google.com/spreadsheets/d/1XL5vhW3sbDhbH9Cz0tuDiY8C3ctxq1tqvaCgkFb8cCA/edit?usp=sharing"",""บุรีรัมย์!I238"")"),880)</f>
        <v>880</v>
      </c>
      <c r="J343" s="188">
        <f ca="1">IFERROR(__xludf.DUMMYFUNCTION("IMPORTRANGE(""https://docs.google.com/spreadsheets/d/1XL5vhW3sbDhbH9Cz0tuDiY8C3ctxq1tqvaCgkFb8cCA/edit?usp=sharing"",""บุรีรัมย์!J238"")"),132)</f>
        <v>132</v>
      </c>
      <c r="K343" s="342">
        <f t="shared" ca="1" si="103"/>
        <v>15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IFERROR(__xludf.DUMMYFUNCTION("IMPORTRANGE(""https://docs.google.com/spreadsheets/d/1XL5vhW3sbDhbH9Cz0tuDiY8C3ctxq1tqvaCgkFb8cCA/edit?usp=sharing"",""บุรีรัมย์!I239"")"),0)</f>
        <v>0</v>
      </c>
      <c r="J344" s="188">
        <f ca="1">IFERROR(__xludf.DUMMYFUNCTION("IMPORTRANGE(""https://docs.google.com/spreadsheets/d/1XL5vhW3sbDhbH9Cz0tuDiY8C3ctxq1tqvaCgkFb8cCA/edit?usp=sharing"",""บุรีรัมย์!J239"")"),948.17)</f>
        <v>948.17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IFERROR(__xludf.DUMMYFUNCTION("IMPORTRANGE(""https://docs.google.com/spreadsheets/d/1XL5vhW3sbDhbH9Cz0tuDiY8C3ctxq1tqvaCgkFb8cCA/edit?usp=sharing"",""บุรีรัมย์!I240"")"),880)</f>
        <v>880</v>
      </c>
      <c r="J345" s="188">
        <f ca="1">IFERROR(__xludf.DUMMYFUNCTION("IMPORTRANGE(""https://docs.google.com/spreadsheets/d/1XL5vhW3sbDhbH9Cz0tuDiY8C3ctxq1tqvaCgkFb8cCA/edit?usp=sharing"",""บุรีรัมย์!J240"")"),487)</f>
        <v>487</v>
      </c>
      <c r="K345" s="342">
        <f t="shared" ca="1" si="103"/>
        <v>55.340909090909093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IFERROR(__xludf.DUMMYFUNCTION("IMPORTRANGE(""https://docs.google.com/spreadsheets/d/1XL5vhW3sbDhbH9Cz0tuDiY8C3ctxq1tqvaCgkFb8cCA/edit?usp=sharing"",""บุรีรัมย์!I241"")"),0)</f>
        <v>0</v>
      </c>
      <c r="J346" s="188">
        <f ca="1">IFERROR(__xludf.DUMMYFUNCTION("IMPORTRANGE(""https://docs.google.com/spreadsheets/d/1XL5vhW3sbDhbH9Cz0tuDiY8C3ctxq1tqvaCgkFb8cCA/edit?usp=sharing"",""บุรีรัมย์!J241"")"),3221.81999999999)</f>
        <v>3221.8199999999902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IFERROR(__xludf.DUMMYFUNCTION("IMPORTRANGE(""https://docs.google.com/spreadsheets/d/1XL5vhW3sbDhbH9Cz0tuDiY8C3ctxq1tqvaCgkFb8cCA/edit?usp=sharing"",""บุรีรัมย์!L242"")"),3914197)</f>
        <v>3914197</v>
      </c>
      <c r="M347" s="358"/>
      <c r="N347" s="358">
        <f ca="1">IFERROR(__xludf.DUMMYFUNCTION("IMPORTRANGE(""https://docs.google.com/spreadsheets/d/1XL5vhW3sbDhbH9Cz0tuDiY8C3ctxq1tqvaCgkFb8cCA/edit?usp=sharing"",""บุรีรัมย์!M242"")"),667946.51)</f>
        <v>667946.51</v>
      </c>
      <c r="O347" s="358">
        <f ca="1">+IF(L347&gt;0,N347*100/L347,0)</f>
        <v>17.064713656466449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IFERROR(__xludf.DUMMYFUNCTION("IMPORTRANGE(""https://docs.google.com/spreadsheets/d/1XL5vhW3sbDhbH9Cz0tuDiY8C3ctxq1tqvaCgkFb8cCA/edit?usp=sharing"",""บุรีรัมย์!I244"")"),550)</f>
        <v>550</v>
      </c>
      <c r="J349" s="371">
        <f ca="1">IFERROR(__xludf.DUMMYFUNCTION("IMPORTRANGE(""https://docs.google.com/spreadsheets/d/1XL5vhW3sbDhbH9Cz0tuDiY8C3ctxq1tqvaCgkFb8cCA/edit?usp=sharing"",""บุรีรัมย์!J244"")"),0)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IFERROR(__xludf.DUMMYFUNCTION("IMPORTRANGE(""https://docs.google.com/spreadsheets/d/1XL5vhW3sbDhbH9Cz0tuDiY8C3ctxq1tqvaCgkFb8cCA/edit?usp=sharing"",""บุรีรัมย์!L244"")"),810030)</f>
        <v>810030</v>
      </c>
      <c r="M349" s="373"/>
      <c r="N349" s="373">
        <f ca="1">IFERROR(__xludf.DUMMYFUNCTION("IMPORTRANGE(""https://docs.google.com/spreadsheets/d/1XL5vhW3sbDhbH9Cz0tuDiY8C3ctxq1tqvaCgkFb8cCA/edit?usp=sharing"",""บุรีรัมย์!M244"")"),106759.989999999)</f>
        <v>106759.989999999</v>
      </c>
      <c r="O349" s="373">
        <f ca="1">+IF(L349&gt;0,N349*100/L349,0)</f>
        <v>13.179757539844079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IFERROR(__xludf.DUMMYFUNCTION("IMPORTRANGE(""https://docs.google.com/spreadsheets/d/1XL5vhW3sbDhbH9Cz0tuDiY8C3ctxq1tqvaCgkFb8cCA/edit?usp=sharing"",""บุรีรัมย์!I245"")"),55)</f>
        <v>55</v>
      </c>
      <c r="J350" s="371">
        <f ca="1">IFERROR(__xludf.DUMMYFUNCTION("IMPORTRANGE(""https://docs.google.com/spreadsheets/d/1XL5vhW3sbDhbH9Cz0tuDiY8C3ctxq1tqvaCgkFb8cCA/edit?usp=sharing"",""บุรีรัมย์!J245"")"),55)</f>
        <v>55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IFERROR(__xludf.DUMMYFUNCTION("IMPORTRANGE(""https://docs.google.com/spreadsheets/d/1XL5vhW3sbDhbH9Cz0tuDiY8C3ctxq1tqvaCgkFb8cCA/edit?usp=sharing"",""บุรีรัมย์!L246"")"),0)</f>
        <v>0</v>
      </c>
      <c r="M351" s="164"/>
      <c r="N351" s="164">
        <f ca="1">IFERROR(__xludf.DUMMYFUNCTION("IMPORTRANGE(""https://docs.google.com/spreadsheets/d/1XL5vhW3sbDhbH9Cz0tuDiY8C3ctxq1tqvaCgkFb8cCA/edit?usp=sharing"",""บุรีรัมย์!M246"")"),0)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IFERROR(__xludf.DUMMYFUNCTION("IMPORTRANGE(""https://docs.google.com/spreadsheets/d/1XL5vhW3sbDhbH9Cz0tuDiY8C3ctxq1tqvaCgkFb8cCA/edit?usp=sharing"",""บุรีรัมย์!L247"")"),810030)</f>
        <v>810030</v>
      </c>
      <c r="M352" s="165"/>
      <c r="N352" s="164">
        <f ca="1">IFERROR(__xludf.DUMMYFUNCTION("IMPORTRANGE(""https://docs.google.com/spreadsheets/d/1XL5vhW3sbDhbH9Cz0tuDiY8C3ctxq1tqvaCgkFb8cCA/edit?usp=sharing"",""บุรีรัมย์!M247"")"),106759.989999999)</f>
        <v>106759.989999999</v>
      </c>
      <c r="O352" s="165">
        <f t="shared" ca="1" si="105"/>
        <v>13.179757539844079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IFERROR(__xludf.DUMMYFUNCTION("IMPORTRANGE(""https://docs.google.com/spreadsheets/d/1XL5vhW3sbDhbH9Cz0tuDiY8C3ctxq1tqvaCgkFb8cCA/edit?usp=sharing"",""บุรีรัมย์!L248"")"),0)</f>
        <v>0</v>
      </c>
      <c r="M353" s="169"/>
      <c r="N353" s="169">
        <f ca="1">IFERROR(__xludf.DUMMYFUNCTION("IMPORTRANGE(""https://docs.google.com/spreadsheets/d/1XL5vhW3sbDhbH9Cz0tuDiY8C3ctxq1tqvaCgkFb8cCA/edit?usp=sharing"",""บุรีรัมย์!M248"")"),0)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IFERROR(__xludf.DUMMYFUNCTION("IMPORTRANGE(""https://docs.google.com/spreadsheets/d/1XL5vhW3sbDhbH9Cz0tuDiY8C3ctxq1tqvaCgkFb8cCA/edit?usp=sharing"",""บุรีรัมย์!L249"")"),810030)</f>
        <v>810030</v>
      </c>
      <c r="M354" s="169"/>
      <c r="N354" s="168">
        <f ca="1">IFERROR(__xludf.DUMMYFUNCTION("IMPORTRANGE(""https://docs.google.com/spreadsheets/d/1XL5vhW3sbDhbH9Cz0tuDiY8C3ctxq1tqvaCgkFb8cCA/edit?usp=sharing"",""บุรีรัมย์!M249"")"),106759.989999999)</f>
        <v>106759.989999999</v>
      </c>
      <c r="O354" s="169">
        <f t="shared" ca="1" si="105"/>
        <v>13.179757539844079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IFERROR(__xludf.DUMMYFUNCTION("IMPORTRANGE(""https://docs.google.com/spreadsheets/d/1XL5vhW3sbDhbH9Cz0tuDiY8C3ctxq1tqvaCgkFb8cCA/edit?usp=sharing"",""บุรีรัมย์!M250"")"),12920)</f>
        <v>12920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IFERROR(__xludf.DUMMYFUNCTION("IMPORTRANGE(""https://docs.google.com/spreadsheets/d/1XL5vhW3sbDhbH9Cz0tuDiY8C3ctxq1tqvaCgkFb8cCA/edit?usp=sharing"",""บุรีรัมย์!M251"")"),0)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IFERROR(__xludf.DUMMYFUNCTION("IMPORTRANGE(""https://docs.google.com/spreadsheets/d/1XL5vhW3sbDhbH9Cz0tuDiY8C3ctxq1tqvaCgkFb8cCA/edit?usp=sharing"",""บุรีรัมย์!M252"")"),64899.99)</f>
        <v>64899.99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IFERROR(__xludf.DUMMYFUNCTION("IMPORTRANGE(""https://docs.google.com/spreadsheets/d/1XL5vhW3sbDhbH9Cz0tuDiY8C3ctxq1tqvaCgkFb8cCA/edit?usp=sharing"",""บุรีรัมย์!M253"")"),28940)</f>
        <v>28940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IFERROR(__xludf.DUMMYFUNCTION("IMPORTRANGE(""https://docs.google.com/spreadsheets/d/1XL5vhW3sbDhbH9Cz0tuDiY8C3ctxq1tqvaCgkFb8cCA/edit?usp=sharing"",""บุรีรัมย์!J255"")"),0)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IFERROR(__xludf.DUMMYFUNCTION("IMPORTRANGE(""https://docs.google.com/spreadsheets/d/1XL5vhW3sbDhbH9Cz0tuDiY8C3ctxq1tqvaCgkFb8cCA/edit?usp=sharing"",""บุรีรัมย์!J256"")"),1)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IFERROR(__xludf.DUMMYFUNCTION("IMPORTRANGE(""https://docs.google.com/spreadsheets/d/1XL5vhW3sbDhbH9Cz0tuDiY8C3ctxq1tqvaCgkFb8cCA/edit?usp=sharing"",""บุรีรัมย์!J257"")"),1)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IFERROR(__xludf.DUMMYFUNCTION("IMPORTRANGE(""https://docs.google.com/spreadsheets/d/1XL5vhW3sbDhbH9Cz0tuDiY8C3ctxq1tqvaCgkFb8cCA/edit?usp=sharing"",""บุรีรัมย์!J258"")"),1)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IFERROR(__xludf.DUMMYFUNCTION("IMPORTRANGE(""https://docs.google.com/spreadsheets/d/1XL5vhW3sbDhbH9Cz0tuDiY8C3ctxq1tqvaCgkFb8cCA/edit?usp=sharing"",""บุรีรัมย์!J166"")"),0)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IFERROR(__xludf.DUMMYFUNCTION("IMPORTRANGE(""https://docs.google.com/spreadsheets/d/1XL5vhW3sbDhbH9Cz0tuDiY8C3ctxq1tqvaCgkFb8cCA/edit?usp=sharing"",""บุรีรัมย์!J166"")"),0)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IFERROR(__xludf.DUMMYFUNCTION("IMPORTRANGE(""https://docs.google.com/spreadsheets/d/1XL5vhW3sbDhbH9Cz0tuDiY8C3ctxq1tqvaCgkFb8cCA/edit?usp=sharing"",""บุรีรัมย์!J166"")"),0)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IFERROR(__xludf.DUMMYFUNCTION("IMPORTRANGE(""https://docs.google.com/spreadsheets/d/1XL5vhW3sbDhbH9Cz0tuDiY8C3ctxq1tqvaCgkFb8cCA/edit?usp=sharing"",""บุรีรัมย์!J166"")"),0)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IFERROR(__xludf.DUMMYFUNCTION("IMPORTRANGE(""https://docs.google.com/spreadsheets/d/1XL5vhW3sbDhbH9Cz0tuDiY8C3ctxq1tqvaCgkFb8cCA/edit?usp=sharing"",""บุรีรัมย์!I263"")"),55)</f>
        <v>55</v>
      </c>
      <c r="J368" s="188">
        <f ca="1">IFERROR(__xludf.DUMMYFUNCTION("IMPORTRANGE(""https://docs.google.com/spreadsheets/d/1XL5vhW3sbDhbH9Cz0tuDiY8C3ctxq1tqvaCgkFb8cCA/edit?usp=sharing"",""บุรีรัมย์!J263"")"),55)</f>
        <v>55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IFERROR(__xludf.DUMMYFUNCTION("IMPORTRANGE(""https://docs.google.com/spreadsheets/d/1XL5vhW3sbDhbH9Cz0tuDiY8C3ctxq1tqvaCgkFb8cCA/edit?usp=sharing"",""บุรีรัมย์!I164"")"),0)</f>
        <v>0</v>
      </c>
      <c r="J369" s="204">
        <f ca="1">IFERROR(__xludf.DUMMYFUNCTION("IMPORTRANGE(""https://docs.google.com/spreadsheets/d/1XL5vhW3sbDhbH9Cz0tuDiY8C3ctxq1tqvaCgkFb8cCA/edit?usp=sharing"",""บุรีรัมย์!J164"")"),0)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293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IFERROR(__xludf.DUMMYFUNCTION("IMPORTRANGE(""https://docs.google.com/spreadsheets/d/1XL5vhW3sbDhbH9Cz0tuDiY8C3ctxq1tqvaCgkFb8cCA/edit?usp=sharing"",""บุรีรัมย์!I265"")"),55)</f>
        <v>55</v>
      </c>
      <c r="J370" s="204">
        <f ca="1">IFERROR(__xludf.DUMMYFUNCTION("IMPORTRANGE(""https://docs.google.com/spreadsheets/d/1XL5vhW3sbDhbH9Cz0tuDiY8C3ctxq1tqvaCgkFb8cCA/edit?usp=sharing"",""บุรีรัมย์!J265"")"),55)</f>
        <v>55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IFERROR(__xludf.DUMMYFUNCTION("IMPORTRANGE(""https://docs.google.com/spreadsheets/d/1XL5vhW3sbDhbH9Cz0tuDiY8C3ctxq1tqvaCgkFb8cCA/edit?usp=sharing"",""บุรีรัมย์!I164"")"),0)</f>
        <v>0</v>
      </c>
      <c r="J371" s="189">
        <f ca="1">IFERROR(__xludf.DUMMYFUNCTION("IMPORTRANGE(""https://docs.google.com/spreadsheets/d/1XL5vhW3sbDhbH9Cz0tuDiY8C3ctxq1tqvaCgkFb8cCA/edit?usp=sharing"",""บุรีรัมย์!J164"")"),0)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293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IFERROR(__xludf.DUMMYFUNCTION("IMPORTRANGE(""https://docs.google.com/spreadsheets/d/1XL5vhW3sbDhbH9Cz0tuDiY8C3ctxq1tqvaCgkFb8cCA/edit?usp=sharing"",""บุรีรัมย์!I267"")"),55)</f>
        <v>55</v>
      </c>
      <c r="J372" s="189">
        <f ca="1">IFERROR(__xludf.DUMMYFUNCTION("IMPORTRANGE(""https://docs.google.com/spreadsheets/d/1XL5vhW3sbDhbH9Cz0tuDiY8C3ctxq1tqvaCgkFb8cCA/edit?usp=sharing"",""บุรีรัมย์!J267"")"),0)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IFERROR(__xludf.DUMMYFUNCTION("IMPORTRANGE(""https://docs.google.com/spreadsheets/d/1XL5vhW3sbDhbH9Cz0tuDiY8C3ctxq1tqvaCgkFb8cCA/edit?usp=sharing"",""บุรีรัมย์!I164"")"),0)</f>
        <v>0</v>
      </c>
      <c r="J373" s="204">
        <f ca="1">IFERROR(__xludf.DUMMYFUNCTION("IMPORTRANGE(""https://docs.google.com/spreadsheets/d/1XL5vhW3sbDhbH9Cz0tuDiY8C3ctxq1tqvaCgkFb8cCA/edit?usp=sharing"",""บุรีรัมย์!J164"")"),0)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IFERROR(__xludf.DUMMYFUNCTION("IMPORTRANGE(""https://docs.google.com/spreadsheets/d/1XL5vhW3sbDhbH9Cz0tuDiY8C3ctxq1tqvaCgkFb8cCA/edit?usp=sharing"",""บุรีรัมย์!I164"")"),0)</f>
        <v>0</v>
      </c>
      <c r="J374" s="188">
        <f ca="1">IFERROR(__xludf.DUMMYFUNCTION("IMPORTRANGE(""https://docs.google.com/spreadsheets/d/1XL5vhW3sbDhbH9Cz0tuDiY8C3ctxq1tqvaCgkFb8cCA/edit?usp=sharing"",""บุรีรัมย์!J164"")"),0)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IFERROR(__xludf.DUMMYFUNCTION("IMPORTRANGE(""https://docs.google.com/spreadsheets/d/1XL5vhW3sbDhbH9Cz0tuDiY8C3ctxq1tqvaCgkFb8cCA/edit?usp=sharing"",""บุรีรัมย์!I270"")"),550)</f>
        <v>550</v>
      </c>
      <c r="J375" s="188">
        <f ca="1">IFERROR(__xludf.DUMMYFUNCTION("IMPORTRANGE(""https://docs.google.com/spreadsheets/d/1XL5vhW3sbDhbH9Cz0tuDiY8C3ctxq1tqvaCgkFb8cCA/edit?usp=sharing"",""บุรีรัมย์!J270"")"),0)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IFERROR(__xludf.DUMMYFUNCTION("IMPORTRANGE(""https://docs.google.com/spreadsheets/d/1XL5vhW3sbDhbH9Cz0tuDiY8C3ctxq1tqvaCgkFb8cCA/edit?usp=sharing"",""บุรีรัมย์!I271"")"),550)</f>
        <v>550</v>
      </c>
      <c r="J376" s="189">
        <f ca="1">IFERROR(__xludf.DUMMYFUNCTION("IMPORTRANGE(""https://docs.google.com/spreadsheets/d/1XL5vhW3sbDhbH9Cz0tuDiY8C3ctxq1tqvaCgkFb8cCA/edit?usp=sharing"",""บุรีรัมย์!J271"")"),0)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IFERROR(__xludf.DUMMYFUNCTION("IMPORTRANGE(""https://docs.google.com/spreadsheets/d/1XL5vhW3sbDhbH9Cz0tuDiY8C3ctxq1tqvaCgkFb8cCA/edit?usp=sharing"",""บุรีรัมย์!I272"")"),0)</f>
        <v>0</v>
      </c>
      <c r="J377" s="204">
        <f ca="1">IFERROR(__xludf.DUMMYFUNCTION("IMPORTRANGE(""https://docs.google.com/spreadsheets/d/1XL5vhW3sbDhbH9Cz0tuDiY8C3ctxq1tqvaCgkFb8cCA/edit?usp=sharing"",""บุรีรัมย์!J272"")"),0)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IFERROR(__xludf.DUMMYFUNCTION("IMPORTRANGE(""https://docs.google.com/spreadsheets/d/1XL5vhW3sbDhbH9Cz0tuDiY8C3ctxq1tqvaCgkFb8cCA/edit?usp=sharing"",""บุรีรัมย์!J273"")"),0)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IFERROR(__xludf.DUMMYFUNCTION("IMPORTRANGE(""https://docs.google.com/spreadsheets/d/1XL5vhW3sbDhbH9Cz0tuDiY8C3ctxq1tqvaCgkFb8cCA/edit?usp=sharing"",""บุรีรัมย์!J274"")"),0)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IFERROR(__xludf.DUMMYFUNCTION("IMPORTRANGE(""https://docs.google.com/spreadsheets/d/1XL5vhW3sbDhbH9Cz0tuDiY8C3ctxq1tqvaCgkFb8cCA/edit?usp=sharing"",""บุรีรัมย์!I275"")"),1000)</f>
        <v>1000</v>
      </c>
      <c r="J380" s="371">
        <f ca="1">IFERROR(__xludf.DUMMYFUNCTION("IMPORTRANGE(""https://docs.google.com/spreadsheets/d/1XL5vhW3sbDhbH9Cz0tuDiY8C3ctxq1tqvaCgkFb8cCA/edit?usp=sharing"",""บุรีรัมย์!J275"")"),0)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IFERROR(__xludf.DUMMYFUNCTION("IMPORTRANGE(""https://docs.google.com/spreadsheets/d/1XL5vhW3sbDhbH9Cz0tuDiY8C3ctxq1tqvaCgkFb8cCA/edit?usp=sharing"",""บุรีรัมย์!L275"")"),1028520)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IFERROR(__xludf.DUMMYFUNCTION("IMPORTRANGE(""https://docs.google.com/spreadsheets/d/1XL5vhW3sbDhbH9Cz0tuDiY8C3ctxq1tqvaCgkFb8cCA/edit?usp=sharing"",""บุรีรัมย์!M275"")"),131048.31)</f>
        <v>131048.31</v>
      </c>
      <c r="O380" s="373">
        <f ca="1">+IF(L380&gt;0,N380*100/L380,0)</f>
        <v>12.741444988916113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IFERROR(__xludf.DUMMYFUNCTION("IMPORTRANGE(""https://docs.google.com/spreadsheets/d/1XL5vhW3sbDhbH9Cz0tuDiY8C3ctxq1tqvaCgkFb8cCA/edit?usp=sharing"",""บุรีรัมย์!I276"")"),100)</f>
        <v>100</v>
      </c>
      <c r="J381" s="371">
        <f ca="1">IFERROR(__xludf.DUMMYFUNCTION("IMPORTRANGE(""https://docs.google.com/spreadsheets/d/1XL5vhW3sbDhbH9Cz0tuDiY8C3ctxq1tqvaCgkFb8cCA/edit?usp=sharing"",""บุรีรัมย์!J276"")"),100)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IFERROR(__xludf.DUMMYFUNCTION("IMPORTRANGE(""https://docs.google.com/spreadsheets/d/1XL5vhW3sbDhbH9Cz0tuDiY8C3ctxq1tqvaCgkFb8cCA/edit?usp=sharing"",""บุรีรัมย์!L277"")"),0)</f>
        <v>0</v>
      </c>
      <c r="M382" s="164"/>
      <c r="N382" s="164">
        <f ca="1">IFERROR(__xludf.DUMMYFUNCTION("IMPORTRANGE(""https://docs.google.com/spreadsheets/d/1XL5vhW3sbDhbH9Cz0tuDiY8C3ctxq1tqvaCgkFb8cCA/edit?usp=sharing"",""บุรีรัมย์!M277"")"),0)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IFERROR(__xludf.DUMMYFUNCTION("IMPORTRANGE(""https://docs.google.com/spreadsheets/d/1XL5vhW3sbDhbH9Cz0tuDiY8C3ctxq1tqvaCgkFb8cCA/edit?usp=sharing"",""บุรีรัมย์!L278"")"),1028520)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IFERROR(__xludf.DUMMYFUNCTION("IMPORTRANGE(""https://docs.google.com/spreadsheets/d/1XL5vhW3sbDhbH9Cz0tuDiY8C3ctxq1tqvaCgkFb8cCA/edit?usp=sharing"",""บุรีรัมย์!M278"")"),131048.31)</f>
        <v>131048.31</v>
      </c>
      <c r="O383" s="165">
        <f t="shared" ca="1" si="109"/>
        <v>12.741444988916113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IFERROR(__xludf.DUMMYFUNCTION("IMPORTRANGE(""https://docs.google.com/spreadsheets/d/1XL5vhW3sbDhbH9Cz0tuDiY8C3ctxq1tqvaCgkFb8cCA/edit?usp=sharing"",""บุรีรัมย์!L279"")"),0)</f>
        <v>0</v>
      </c>
      <c r="M384" s="169"/>
      <c r="N384" s="169">
        <f ca="1">IFERROR(__xludf.DUMMYFUNCTION("IMPORTRANGE(""https://docs.google.com/spreadsheets/d/1XL5vhW3sbDhbH9Cz0tuDiY8C3ctxq1tqvaCgkFb8cCA/edit?usp=sharing"",""บุรีรัมย์!M279"")"),0)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IFERROR(__xludf.DUMMYFUNCTION("IMPORTRANGE(""https://docs.google.com/spreadsheets/d/1XL5vhW3sbDhbH9Cz0tuDiY8C3ctxq1tqvaCgkFb8cCA/edit?usp=sharing"",""บุรีรัมย์!L280"")"),1028520)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IFERROR(__xludf.DUMMYFUNCTION("IMPORTRANGE(""https://docs.google.com/spreadsheets/d/1XL5vhW3sbDhbH9Cz0tuDiY8C3ctxq1tqvaCgkFb8cCA/edit?usp=sharing"",""บุรีรัมย์!M280"")"),131048.31)</f>
        <v>131048.31</v>
      </c>
      <c r="O385" s="169">
        <f t="shared" ca="1" si="109"/>
        <v>12.741444988916113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IFERROR(__xludf.DUMMYFUNCTION("IMPORTRANGE(""https://docs.google.com/spreadsheets/d/1XL5vhW3sbDhbH9Cz0tuDiY8C3ctxq1tqvaCgkFb8cCA/edit?usp=sharing"",""บุรีรัมย์!M281"")"),42225)</f>
        <v>42225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IFERROR(__xludf.DUMMYFUNCTION("IMPORTRANGE(""https://docs.google.com/spreadsheets/d/1XL5vhW3sbDhbH9Cz0tuDiY8C3ctxq1tqvaCgkFb8cCA/edit?usp=sharing"",""บุรีรัมย์!M282"")"),0)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IFERROR(__xludf.DUMMYFUNCTION("IMPORTRANGE(""https://docs.google.com/spreadsheets/d/1XL5vhW3sbDhbH9Cz0tuDiY8C3ctxq1tqvaCgkFb8cCA/edit?usp=sharing"",""บุรีรัมย์!M283"")"),63433.31)</f>
        <v>63433.31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IFERROR(__xludf.DUMMYFUNCTION("IMPORTRANGE(""https://docs.google.com/spreadsheets/d/1XL5vhW3sbDhbH9Cz0tuDiY8C3ctxq1tqvaCgkFb8cCA/edit?usp=sharing"",""บุรีรัมย์!M284"")"),25390)</f>
        <v>25390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IFERROR(__xludf.DUMMYFUNCTION("IMPORTRANGE(""https://docs.google.com/spreadsheets/d/1XL5vhW3sbDhbH9Cz0tuDiY8C3ctxq1tqvaCgkFb8cCA/edit?usp=sharing"",""บุรีรัมย์!J286"")"),0)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IFERROR(__xludf.DUMMYFUNCTION("IMPORTRANGE(""https://docs.google.com/spreadsheets/d/1XL5vhW3sbDhbH9Cz0tuDiY8C3ctxq1tqvaCgkFb8cCA/edit?usp=sharing"",""บุรีรัมย์!J287"")"),1)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IFERROR(__xludf.DUMMYFUNCTION("IMPORTRANGE(""https://docs.google.com/spreadsheets/d/1XL5vhW3sbDhbH9Cz0tuDiY8C3ctxq1tqvaCgkFb8cCA/edit?usp=sharing"",""บุรีรัมย์!J288"")"),1)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IFERROR(__xludf.DUMMYFUNCTION("IMPORTRANGE(""https://docs.google.com/spreadsheets/d/1XL5vhW3sbDhbH9Cz0tuDiY8C3ctxq1tqvaCgkFb8cCA/edit?usp=sharing"",""บุรีรัมย์!J289"")"),1)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IFERROR(__xludf.DUMMYFUNCTION("IMPORTRANGE(""https://docs.google.com/spreadsheets/d/1XL5vhW3sbDhbH9Cz0tuDiY8C3ctxq1tqvaCgkFb8cCA/edit?usp=sharing"",""บุรีรัมย์!I291"")"),100)</f>
        <v>100</v>
      </c>
      <c r="J396" s="198">
        <f ca="1">IFERROR(__xludf.DUMMYFUNCTION("IMPORTRANGE(""https://docs.google.com/spreadsheets/d/1XL5vhW3sbDhbH9Cz0tuDiY8C3ctxq1tqvaCgkFb8cCA/edit?usp=sharing"",""บุรีรัมย์!J291"")"),100)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IFERROR(__xludf.DUMMYFUNCTION("IMPORTRANGE(""https://docs.google.com/spreadsheets/d/1XL5vhW3sbDhbH9Cz0tuDiY8C3ctxq1tqvaCgkFb8cCA/edit?usp=sharing"",""บุรีรัมย์!I292"")"),1000)</f>
        <v>1000</v>
      </c>
      <c r="J397" s="198">
        <f ca="1">IFERROR(__xludf.DUMMYFUNCTION("IMPORTRANGE(""https://docs.google.com/spreadsheets/d/1XL5vhW3sbDhbH9Cz0tuDiY8C3ctxq1tqvaCgkFb8cCA/edit?usp=sharing"",""บุรีรัมย์!J292"")"),0)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IFERROR(__xludf.DUMMYFUNCTION("IMPORTRANGE(""https://docs.google.com/spreadsheets/d/1XL5vhW3sbDhbH9Cz0tuDiY8C3ctxq1tqvaCgkFb8cCA/edit?usp=sharing"",""บุรีรัมย์!I293"")"),100)</f>
        <v>100</v>
      </c>
      <c r="J398" s="198">
        <f ca="1">IFERROR(__xludf.DUMMYFUNCTION("IMPORTRANGE(""https://docs.google.com/spreadsheets/d/1XL5vhW3sbDhbH9Cz0tuDiY8C3ctxq1tqvaCgkFb8cCA/edit?usp=sharing"",""บุรีรัมย์!J293"")"),0)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IFERROR(__xludf.DUMMYFUNCTION("IMPORTRANGE(""https://docs.google.com/spreadsheets/d/1XL5vhW3sbDhbH9Cz0tuDiY8C3ctxq1tqvaCgkFb8cCA/edit?usp=sharing"",""บุรีรัมย์!J294"")"),0)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IFERROR(__xludf.DUMMYFUNCTION("IMPORTRANGE(""https://docs.google.com/spreadsheets/d/1XL5vhW3sbDhbH9Cz0tuDiY8C3ctxq1tqvaCgkFb8cCA/edit?usp=sharing"",""บุรีรัมย์!J295"")"),0)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IFERROR(__xludf.DUMMYFUNCTION("IMPORTRANGE(""https://docs.google.com/spreadsheets/d/1XL5vhW3sbDhbH9Cz0tuDiY8C3ctxq1tqvaCgkFb8cCA/edit?usp=sharing"",""บุรีรัมย์!I296"")"),225)</f>
        <v>225</v>
      </c>
      <c r="J401" s="371">
        <f ca="1">IFERROR(__xludf.DUMMYFUNCTION("IMPORTRANGE(""https://docs.google.com/spreadsheets/d/1XL5vhW3sbDhbH9Cz0tuDiY8C3ctxq1tqvaCgkFb8cCA/edit?usp=sharing"",""บุรีรัมย์!J296"")"),225)</f>
        <v>225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IFERROR(__xludf.DUMMYFUNCTION("IMPORTRANGE(""https://docs.google.com/spreadsheets/d/1XL5vhW3sbDhbH9Cz0tuDiY8C3ctxq1tqvaCgkFb8cCA/edit?usp=sharing"",""บุรีรัมย์!L296"")"),230070)</f>
        <v>230070</v>
      </c>
      <c r="M401" s="373"/>
      <c r="N401" s="373">
        <f ca="1">IFERROR(__xludf.DUMMYFUNCTION("IMPORTRANGE(""https://docs.google.com/spreadsheets/d/1XL5vhW3sbDhbH9Cz0tuDiY8C3ctxq1tqvaCgkFb8cCA/edit?usp=sharing"",""บุรีรัมย์!M296"")"),94305)</f>
        <v>94305</v>
      </c>
      <c r="O401" s="373">
        <f ca="1">+IF(L401&gt;0,N401*100/L401,0)</f>
        <v>40.989698787325594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IFERROR(__xludf.DUMMYFUNCTION("IMPORTRANGE(""https://docs.google.com/spreadsheets/d/1XL5vhW3sbDhbH9Cz0tuDiY8C3ctxq1tqvaCgkFb8cCA/edit?usp=sharing"",""บุรีรัมย์!I297"")"),75)</f>
        <v>75</v>
      </c>
      <c r="J402" s="371">
        <f ca="1">IFERROR(__xludf.DUMMYFUNCTION("IMPORTRANGE(""https://docs.google.com/spreadsheets/d/1XL5vhW3sbDhbH9Cz0tuDiY8C3ctxq1tqvaCgkFb8cCA/edit?usp=sharing"",""บุรีรัมย์!J297"")"),75)</f>
        <v>75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IFERROR(__xludf.DUMMYFUNCTION("IMPORTRANGE(""https://docs.google.com/spreadsheets/d/1XL5vhW3sbDhbH9Cz0tuDiY8C3ctxq1tqvaCgkFb8cCA/edit?usp=sharing"",""บุรีรัมย์!L298"")"),0)</f>
        <v>0</v>
      </c>
      <c r="M403" s="164"/>
      <c r="N403" s="169">
        <f ca="1">IFERROR(__xludf.DUMMYFUNCTION("IMPORTRANGE(""https://docs.google.com/spreadsheets/d/1XL5vhW3sbDhbH9Cz0tuDiY8C3ctxq1tqvaCgkFb8cCA/edit?usp=sharing"",""บุรีรัมย์!M298"")"),0)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IFERROR(__xludf.DUMMYFUNCTION("IMPORTRANGE(""https://docs.google.com/spreadsheets/d/1XL5vhW3sbDhbH9Cz0tuDiY8C3ctxq1tqvaCgkFb8cCA/edit?usp=sharing"",""บุรีรัมย์!L299"")"),230070)</f>
        <v>230070</v>
      </c>
      <c r="M404" s="165"/>
      <c r="N404" s="169">
        <f ca="1">IFERROR(__xludf.DUMMYFUNCTION("IMPORTRANGE(""https://docs.google.com/spreadsheets/d/1XL5vhW3sbDhbH9Cz0tuDiY8C3ctxq1tqvaCgkFb8cCA/edit?usp=sharing"",""บุรีรัมย์!M299"")"),94305)</f>
        <v>94305</v>
      </c>
      <c r="O404" s="169">
        <f t="shared" ca="1" si="112"/>
        <v>40.989698787325594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IFERROR(__xludf.DUMMYFUNCTION("IMPORTRANGE(""https://docs.google.com/spreadsheets/d/1XL5vhW3sbDhbH9Cz0tuDiY8C3ctxq1tqvaCgkFb8cCA/edit?usp=sharing"",""บุรีรัมย์!L300"")"),0)</f>
        <v>0</v>
      </c>
      <c r="M405" s="169"/>
      <c r="N405" s="169">
        <f ca="1">IFERROR(__xludf.DUMMYFUNCTION("IMPORTRANGE(""https://docs.google.com/spreadsheets/d/1XL5vhW3sbDhbH9Cz0tuDiY8C3ctxq1tqvaCgkFb8cCA/edit?usp=sharing"",""บุรีรัมย์!M300"")"),0)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IFERROR(__xludf.DUMMYFUNCTION("IMPORTRANGE(""https://docs.google.com/spreadsheets/d/1XL5vhW3sbDhbH9Cz0tuDiY8C3ctxq1tqvaCgkFb8cCA/edit?usp=sharing"",""บุรีรัมย์!L301"")"),230070)</f>
        <v>230070</v>
      </c>
      <c r="M406" s="169"/>
      <c r="N406" s="169">
        <f ca="1">IFERROR(__xludf.DUMMYFUNCTION("IMPORTRANGE(""https://docs.google.com/spreadsheets/d/1XL5vhW3sbDhbH9Cz0tuDiY8C3ctxq1tqvaCgkFb8cCA/edit?usp=sharing"",""บุรีรัมย์!M301"")"),94305)</f>
        <v>94305</v>
      </c>
      <c r="O406" s="169">
        <f t="shared" ca="1" si="112"/>
        <v>40.989698787325594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IFERROR(__xludf.DUMMYFUNCTION("IMPORTRANGE(""https://docs.google.com/spreadsheets/d/1XL5vhW3sbDhbH9Cz0tuDiY8C3ctxq1tqvaCgkFb8cCA/edit?usp=sharing"",""บุรีรัมย์!M302"")"),86535)</f>
        <v>86535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IFERROR(__xludf.DUMMYFUNCTION("IMPORTRANGE(""https://docs.google.com/spreadsheets/d/1XL5vhW3sbDhbH9Cz0tuDiY8C3ctxq1tqvaCgkFb8cCA/edit?usp=sharing"",""บุรีรัมย์!M303"")"),0)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IFERROR(__xludf.DUMMYFUNCTION("IMPORTRANGE(""https://docs.google.com/spreadsheets/d/1XL5vhW3sbDhbH9Cz0tuDiY8C3ctxq1tqvaCgkFb8cCA/edit?usp=sharing"",""บุรีรัมย์!M304"")"),0)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IFERROR(__xludf.DUMMYFUNCTION("IMPORTRANGE(""https://docs.google.com/spreadsheets/d/1XL5vhW3sbDhbH9Cz0tuDiY8C3ctxq1tqvaCgkFb8cCA/edit?usp=sharing"",""บุรีรัมย์!M305"")"),7770)</f>
        <v>7770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IFERROR(__xludf.DUMMYFUNCTION("IMPORTRANGE(""https://docs.google.com/spreadsheets/d/1XL5vhW3sbDhbH9Cz0tuDiY8C3ctxq1tqvaCgkFb8cCA/edit?usp=sharing"",""บุรีรัมย์!J307"")"),0)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IFERROR(__xludf.DUMMYFUNCTION("IMPORTRANGE(""https://docs.google.com/spreadsheets/d/1XL5vhW3sbDhbH9Cz0tuDiY8C3ctxq1tqvaCgkFb8cCA/edit?usp=sharing"",""บุรีรัมย์!J308"")"),1)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IFERROR(__xludf.DUMMYFUNCTION("IMPORTRANGE(""https://docs.google.com/spreadsheets/d/1XL5vhW3sbDhbH9Cz0tuDiY8C3ctxq1tqvaCgkFb8cCA/edit?usp=sharing"",""บุรีรัมย์!J309"")"),1)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IFERROR(__xludf.DUMMYFUNCTION("IMPORTRANGE(""https://docs.google.com/spreadsheets/d/1XL5vhW3sbDhbH9Cz0tuDiY8C3ctxq1tqvaCgkFb8cCA/edit?usp=sharing"",""บุรีรัมย์!J310"")"),1)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IFERROR(__xludf.DUMMYFUNCTION("IMPORTRANGE(""https://docs.google.com/spreadsheets/d/1XL5vhW3sbDhbH9Cz0tuDiY8C3ctxq1tqvaCgkFb8cCA/edit?usp=sharing"",""บุรีรัมย์!I311"")"),75)</f>
        <v>75</v>
      </c>
      <c r="J416" s="201">
        <f ca="1">IFERROR(__xludf.DUMMYFUNCTION("IMPORTRANGE(""https://docs.google.com/spreadsheets/d/1XL5vhW3sbDhbH9Cz0tuDiY8C3ctxq1tqvaCgkFb8cCA/edit?usp=sharing"",""บุรีรัมย์!J311"")"),75)</f>
        <v>75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IFERROR(__xludf.DUMMYFUNCTION("IMPORTRANGE(""https://docs.google.com/spreadsheets/d/1XL5vhW3sbDhbH9Cz0tuDiY8C3ctxq1tqvaCgkFb8cCA/edit?usp=sharing"",""บุรีรัมย์!I312"")"),0)</f>
        <v>0</v>
      </c>
      <c r="J417" s="392">
        <f ca="1">IFERROR(__xludf.DUMMYFUNCTION("IMPORTRANGE(""https://docs.google.com/spreadsheets/d/1XL5vhW3sbDhbH9Cz0tuDiY8C3ctxq1tqvaCgkFb8cCA/edit?usp=sharing"",""บุรีรัมย์!J312"")"),0)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IFERROR(__xludf.DUMMYFUNCTION("IMPORTRANGE(""https://docs.google.com/spreadsheets/d/1XL5vhW3sbDhbH9Cz0tuDiY8C3ctxq1tqvaCgkFb8cCA/edit?usp=sharing"",""บุรีรัมย์!I313"")"),0)</f>
        <v>0</v>
      </c>
      <c r="J418" s="393">
        <f ca="1">IFERROR(__xludf.DUMMYFUNCTION("IMPORTRANGE(""https://docs.google.com/spreadsheets/d/1XL5vhW3sbDhbH9Cz0tuDiY8C3ctxq1tqvaCgkFb8cCA/edit?usp=sharing"",""บุรีรัมย์!J313"")"),0)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IFERROR(__xludf.DUMMYFUNCTION("IMPORTRANGE(""https://docs.google.com/spreadsheets/d/1XL5vhW3sbDhbH9Cz0tuDiY8C3ctxq1tqvaCgkFb8cCA/edit?usp=sharing"",""บุรีรัมย์!I314"")"),0)</f>
        <v>0</v>
      </c>
      <c r="J419" s="394">
        <f ca="1">IFERROR(__xludf.DUMMYFUNCTION("IMPORTRANGE(""https://docs.google.com/spreadsheets/d/1XL5vhW3sbDhbH9Cz0tuDiY8C3ctxq1tqvaCgkFb8cCA/edit?usp=sharing"",""บุรีรัมย์!J314"")"),0)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IFERROR(__xludf.DUMMYFUNCTION("IMPORTRANGE(""https://docs.google.com/spreadsheets/d/1XL5vhW3sbDhbH9Cz0tuDiY8C3ctxq1tqvaCgkFb8cCA/edit?usp=sharing"",""บุรีรัมย์!I315"")"),0)</f>
        <v>0</v>
      </c>
      <c r="J420" s="394">
        <f ca="1">IFERROR(__xludf.DUMMYFUNCTION("IMPORTRANGE(""https://docs.google.com/spreadsheets/d/1XL5vhW3sbDhbH9Cz0tuDiY8C3ctxq1tqvaCgkFb8cCA/edit?usp=sharing"",""บุรีรัมย์!J315"")"),0)</f>
        <v>0</v>
      </c>
      <c r="K420" s="288">
        <f t="shared" ca="1" si="113"/>
        <v>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IFERROR(__xludf.DUMMYFUNCTION("IMPORTRANGE(""https://docs.google.com/spreadsheets/d/1XL5vhW3sbDhbH9Cz0tuDiY8C3ctxq1tqvaCgkFb8cCA/edit?usp=sharing"",""บุรีรัมย์!I316"")"),65)</f>
        <v>65</v>
      </c>
      <c r="J421" s="392">
        <f ca="1">IFERROR(__xludf.DUMMYFUNCTION("IMPORTRANGE(""https://docs.google.com/spreadsheets/d/1XL5vhW3sbDhbH9Cz0tuDiY8C3ctxq1tqvaCgkFb8cCA/edit?usp=sharing"",""บุรีรัมย์!J316"")"),65)</f>
        <v>65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IFERROR(__xludf.DUMMYFUNCTION("IMPORTRANGE(""https://docs.google.com/spreadsheets/d/1XL5vhW3sbDhbH9Cz0tuDiY8C3ctxq1tqvaCgkFb8cCA/edit?usp=sharing"",""บุรีรัมย์!I317"")"),195)</f>
        <v>195</v>
      </c>
      <c r="J422" s="393">
        <f ca="1">IFERROR(__xludf.DUMMYFUNCTION("IMPORTRANGE(""https://docs.google.com/spreadsheets/d/1XL5vhW3sbDhbH9Cz0tuDiY8C3ctxq1tqvaCgkFb8cCA/edit?usp=sharing"",""บุรีรัมย์!J317"")"),195)</f>
        <v>195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IFERROR(__xludf.DUMMYFUNCTION("IMPORTRANGE(""https://docs.google.com/spreadsheets/d/1XL5vhW3sbDhbH9Cz0tuDiY8C3ctxq1tqvaCgkFb8cCA/edit?usp=sharing"",""บุรีรัมย์!I318"")"),65)</f>
        <v>65</v>
      </c>
      <c r="J423" s="394">
        <f ca="1">IFERROR(__xludf.DUMMYFUNCTION("IMPORTRANGE(""https://docs.google.com/spreadsheets/d/1XL5vhW3sbDhbH9Cz0tuDiY8C3ctxq1tqvaCgkFb8cCA/edit?usp=sharing"",""บุรีรัมย์!J318"")"),65)</f>
        <v>65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IFERROR(__xludf.DUMMYFUNCTION("IMPORTRANGE(""https://docs.google.com/spreadsheets/d/1XL5vhW3sbDhbH9Cz0tuDiY8C3ctxq1tqvaCgkFb8cCA/edit?usp=sharing"",""บุรีรัมย์!I319"")"),65)</f>
        <v>65</v>
      </c>
      <c r="J424" s="394">
        <f ca="1">IFERROR(__xludf.DUMMYFUNCTION("IMPORTRANGE(""https://docs.google.com/spreadsheets/d/1XL5vhW3sbDhbH9Cz0tuDiY8C3ctxq1tqvaCgkFb8cCA/edit?usp=sharing"",""บุรีรัมย์!J319"")"),65)</f>
        <v>65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IFERROR(__xludf.DUMMYFUNCTION("IMPORTRANGE(""https://docs.google.com/spreadsheets/d/1XL5vhW3sbDhbH9Cz0tuDiY8C3ctxq1tqvaCgkFb8cCA/edit?usp=sharing"",""บุรีรัมย์!I320"")"),65)</f>
        <v>65</v>
      </c>
      <c r="J425" s="394">
        <f ca="1">IFERROR(__xludf.DUMMYFUNCTION("IMPORTRANGE(""https://docs.google.com/spreadsheets/d/1XL5vhW3sbDhbH9Cz0tuDiY8C3ctxq1tqvaCgkFb8cCA/edit?usp=sharing"",""บุรีรัมย์!J320"")"),65)</f>
        <v>65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IFERROR(__xludf.DUMMYFUNCTION("IMPORTRANGE(""https://docs.google.com/spreadsheets/d/1XL5vhW3sbDhbH9Cz0tuDiY8C3ctxq1tqvaCgkFb8cCA/edit?usp=sharing"",""บุรีรัมย์!I321"")"),10)</f>
        <v>10</v>
      </c>
      <c r="J426" s="392">
        <f ca="1">IFERROR(__xludf.DUMMYFUNCTION("IMPORTRANGE(""https://docs.google.com/spreadsheets/d/1XL5vhW3sbDhbH9Cz0tuDiY8C3ctxq1tqvaCgkFb8cCA/edit?usp=sharing"",""บุรีรัมย์!J321"")"),10)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IFERROR(__xludf.DUMMYFUNCTION("IMPORTRANGE(""https://docs.google.com/spreadsheets/d/1XL5vhW3sbDhbH9Cz0tuDiY8C3ctxq1tqvaCgkFb8cCA/edit?usp=sharing"",""บุรีรัมย์!I322"")"),30)</f>
        <v>30</v>
      </c>
      <c r="J427" s="393">
        <f ca="1">IFERROR(__xludf.DUMMYFUNCTION("IMPORTRANGE(""https://docs.google.com/spreadsheets/d/1XL5vhW3sbDhbH9Cz0tuDiY8C3ctxq1tqvaCgkFb8cCA/edit?usp=sharing"",""บุรีรัมย์!J322"")"),30)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IFERROR(__xludf.DUMMYFUNCTION("IMPORTRANGE(""https://docs.google.com/spreadsheets/d/1XL5vhW3sbDhbH9Cz0tuDiY8C3ctxq1tqvaCgkFb8cCA/edit?usp=sharing"",""บุรีรัมย์!I323"")"),10)</f>
        <v>10</v>
      </c>
      <c r="J428" s="394">
        <f ca="1">IFERROR(__xludf.DUMMYFUNCTION("IMPORTRANGE(""https://docs.google.com/spreadsheets/d/1XL5vhW3sbDhbH9Cz0tuDiY8C3ctxq1tqvaCgkFb8cCA/edit?usp=sharing"",""บุรีรัมย์!J323"")"),10)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IFERROR(__xludf.DUMMYFUNCTION("IMPORTRANGE(""https://docs.google.com/spreadsheets/d/1XL5vhW3sbDhbH9Cz0tuDiY8C3ctxq1tqvaCgkFb8cCA/edit?usp=sharing"",""บุรีรัมย์!I324"")"),10)</f>
        <v>10</v>
      </c>
      <c r="J429" s="394">
        <f ca="1">IFERROR(__xludf.DUMMYFUNCTION("IMPORTRANGE(""https://docs.google.com/spreadsheets/d/1XL5vhW3sbDhbH9Cz0tuDiY8C3ctxq1tqvaCgkFb8cCA/edit?usp=sharing"",""บุรีรัมย์!J324"")"),10)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IFERROR(__xludf.DUMMYFUNCTION("IMPORTRANGE(""https://docs.google.com/spreadsheets/d/1XL5vhW3sbDhbH9Cz0tuDiY8C3ctxq1tqvaCgkFb8cCA/edit?usp=sharing"",""บุรีรัมย์!I325"")"),65)</f>
        <v>65</v>
      </c>
      <c r="J430" s="392">
        <f ca="1">IFERROR(__xludf.DUMMYFUNCTION("IMPORTRANGE(""https://docs.google.com/spreadsheets/d/1XL5vhW3sbDhbH9Cz0tuDiY8C3ctxq1tqvaCgkFb8cCA/edit?usp=sharing"",""บุรีรัมย์!J325"")"),0)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IFERROR(__xludf.DUMMYFUNCTION("IMPORTRANGE(""https://docs.google.com/spreadsheets/d/1XL5vhW3sbDhbH9Cz0tuDiY8C3ctxq1tqvaCgkFb8cCA/edit?usp=sharing"",""บุรีรัมย์!I326"")"),0)</f>
        <v>0</v>
      </c>
      <c r="J431" s="394">
        <f ca="1">IFERROR(__xludf.DUMMYFUNCTION("IMPORTRANGE(""https://docs.google.com/spreadsheets/d/1XL5vhW3sbDhbH9Cz0tuDiY8C3ctxq1tqvaCgkFb8cCA/edit?usp=sharing"",""บุรีรัมย์!J326"")"),0)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IFERROR(__xludf.DUMMYFUNCTION("IMPORTRANGE(""https://docs.google.com/spreadsheets/d/1XL5vhW3sbDhbH9Cz0tuDiY8C3ctxq1tqvaCgkFb8cCA/edit?usp=sharing"",""บุรีรัมย์!I327"")"),65)</f>
        <v>65</v>
      </c>
      <c r="J432" s="394">
        <f ca="1">IFERROR(__xludf.DUMMYFUNCTION("IMPORTRANGE(""https://docs.google.com/spreadsheets/d/1XL5vhW3sbDhbH9Cz0tuDiY8C3ctxq1tqvaCgkFb8cCA/edit?usp=sharing"",""บุรีรัมย์!J327"")"),0)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IFERROR(__xludf.DUMMYFUNCTION("IMPORTRANGE(""https://docs.google.com/spreadsheets/d/1XL5vhW3sbDhbH9Cz0tuDiY8C3ctxq1tqvaCgkFb8cCA/edit?usp=sharing"",""บุรีรัมย์!J328"")"),0)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IFERROR(__xludf.DUMMYFUNCTION("IMPORTRANGE(""https://docs.google.com/spreadsheets/d/1XL5vhW3sbDhbH9Cz0tuDiY8C3ctxq1tqvaCgkFb8cCA/edit?usp=sharing"",""บุรีรัมย์!J329"")"),0)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IFERROR(__xludf.DUMMYFUNCTION("IMPORTRANGE(""https://docs.google.com/spreadsheets/d/1XL5vhW3sbDhbH9Cz0tuDiY8C3ctxq1tqvaCgkFb8cCA/edit?usp=sharing"",""บุรีรัมย์!I330"")"),20)</f>
        <v>20</v>
      </c>
      <c r="J435" s="410">
        <f ca="1">IFERROR(__xludf.DUMMYFUNCTION("IMPORTRANGE(""https://docs.google.com/spreadsheets/d/1XL5vhW3sbDhbH9Cz0tuDiY8C3ctxq1tqvaCgkFb8cCA/edit?usp=sharing"",""บุรีรัมย์!J330"")"),20)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IFERROR(__xludf.DUMMYFUNCTION("IMPORTRANGE(""https://docs.google.com/spreadsheets/d/1XL5vhW3sbDhbH9Cz0tuDiY8C3ctxq1tqvaCgkFb8cCA/edit?usp=sharing"",""บุรีรัมย์!L330"")"),118000)</f>
        <v>118000</v>
      </c>
      <c r="M435" s="412"/>
      <c r="N435" s="412">
        <f ca="1">IFERROR(__xludf.DUMMYFUNCTION("IMPORTRANGE(""https://docs.google.com/spreadsheets/d/1XL5vhW3sbDhbH9Cz0tuDiY8C3ctxq1tqvaCgkFb8cCA/edit?usp=sharing"",""บุรีรัมย์!M330"")"),68755.6)</f>
        <v>68755.600000000006</v>
      </c>
      <c r="O435" s="412">
        <f t="shared" ref="O435:O439" ca="1" si="114">+IF(L435&gt;0,N435*100/L435,0)</f>
        <v>58.267457627118652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IFERROR(__xludf.DUMMYFUNCTION("IMPORTRANGE(""https://docs.google.com/spreadsheets/d/1XL5vhW3sbDhbH9Cz0tuDiY8C3ctxq1tqvaCgkFb8cCA/edit?usp=sharing"",""บุรีรัมย์!L331"")"),0)</f>
        <v>0</v>
      </c>
      <c r="M436" s="164"/>
      <c r="N436" s="169">
        <f ca="1">IFERROR(__xludf.DUMMYFUNCTION("IMPORTRANGE(""https://docs.google.com/spreadsheets/d/1XL5vhW3sbDhbH9Cz0tuDiY8C3ctxq1tqvaCgkFb8cCA/edit?usp=sharing"",""บุรีรัมย์!M331"")"),0)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IFERROR(__xludf.DUMMYFUNCTION("IMPORTRANGE(""https://docs.google.com/spreadsheets/d/1XL5vhW3sbDhbH9Cz0tuDiY8C3ctxq1tqvaCgkFb8cCA/edit?usp=sharing"",""บุรีรัมย์!L332"")"),118000)</f>
        <v>118000</v>
      </c>
      <c r="M437" s="165"/>
      <c r="N437" s="169">
        <f ca="1">IFERROR(__xludf.DUMMYFUNCTION("IMPORTRANGE(""https://docs.google.com/spreadsheets/d/1XL5vhW3sbDhbH9Cz0tuDiY8C3ctxq1tqvaCgkFb8cCA/edit?usp=sharing"",""บุรีรัมย์!M332"")"),68755.6)</f>
        <v>68755.600000000006</v>
      </c>
      <c r="O437" s="169">
        <f t="shared" ca="1" si="114"/>
        <v>58.267457627118652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IFERROR(__xludf.DUMMYFUNCTION("IMPORTRANGE(""https://docs.google.com/spreadsheets/d/1XL5vhW3sbDhbH9Cz0tuDiY8C3ctxq1tqvaCgkFb8cCA/edit?usp=sharing"",""บุรีรัมย์!L333"")"),0)</f>
        <v>0</v>
      </c>
      <c r="M438" s="169"/>
      <c r="N438" s="169">
        <f ca="1">IFERROR(__xludf.DUMMYFUNCTION("IMPORTRANGE(""https://docs.google.com/spreadsheets/d/1XL5vhW3sbDhbH9Cz0tuDiY8C3ctxq1tqvaCgkFb8cCA/edit?usp=sharing"",""บุรีรัมย์!M333"")"),0)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IFERROR(__xludf.DUMMYFUNCTION("IMPORTRANGE(""https://docs.google.com/spreadsheets/d/1XL5vhW3sbDhbH9Cz0tuDiY8C3ctxq1tqvaCgkFb8cCA/edit?usp=sharing"",""บุรีรัมย์!L334"")"),118000)</f>
        <v>118000</v>
      </c>
      <c r="M439" s="169"/>
      <c r="N439" s="169">
        <f ca="1">IFERROR(__xludf.DUMMYFUNCTION("IMPORTRANGE(""https://docs.google.com/spreadsheets/d/1XL5vhW3sbDhbH9Cz0tuDiY8C3ctxq1tqvaCgkFb8cCA/edit?usp=sharing"",""บุรีรัมย์!M334"")"),68755.6)</f>
        <v>68755.600000000006</v>
      </c>
      <c r="O439" s="169">
        <f t="shared" ca="1" si="114"/>
        <v>58.267457627118652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IFERROR(__xludf.DUMMYFUNCTION("IMPORTRANGE(""https://docs.google.com/spreadsheets/d/1XL5vhW3sbDhbH9Cz0tuDiY8C3ctxq1tqvaCgkFb8cCA/edit?usp=sharing"",""บุรีรัมย์!M335"")"),32615.6)</f>
        <v>32615.599999999999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IFERROR(__xludf.DUMMYFUNCTION("IMPORTRANGE(""https://docs.google.com/spreadsheets/d/1XL5vhW3sbDhbH9Cz0tuDiY8C3ctxq1tqvaCgkFb8cCA/edit?usp=sharing"",""บุรีรัมย์!M336"")"),0)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IFERROR(__xludf.DUMMYFUNCTION("IMPORTRANGE(""https://docs.google.com/spreadsheets/d/1XL5vhW3sbDhbH9Cz0tuDiY8C3ctxq1tqvaCgkFb8cCA/edit?usp=sharing"",""บุรีรัมย์!M337"")"),0)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IFERROR(__xludf.DUMMYFUNCTION("IMPORTRANGE(""https://docs.google.com/spreadsheets/d/1XL5vhW3sbDhbH9Cz0tuDiY8C3ctxq1tqvaCgkFb8cCA/edit?usp=sharing"",""บุรีรัมย์!M338"")"),36140)</f>
        <v>36140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IFERROR(__xludf.DUMMYFUNCTION("IMPORTRANGE(""https://docs.google.com/spreadsheets/d/1XL5vhW3sbDhbH9Cz0tuDiY8C3ctxq1tqvaCgkFb8cCA/edit?usp=sharing"",""บุรีรัมย์!J340"")"),0)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IFERROR(__xludf.DUMMYFUNCTION("IMPORTRANGE(""https://docs.google.com/spreadsheets/d/1XL5vhW3sbDhbH9Cz0tuDiY8C3ctxq1tqvaCgkFb8cCA/edit?usp=sharing"",""บุรีรัมย์!J341"")"),1)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IFERROR(__xludf.DUMMYFUNCTION("IMPORTRANGE(""https://docs.google.com/spreadsheets/d/1XL5vhW3sbDhbH9Cz0tuDiY8C3ctxq1tqvaCgkFb8cCA/edit?usp=sharing"",""บุรีรัมย์!J342"")"),1)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IFERROR(__xludf.DUMMYFUNCTION("IMPORTRANGE(""https://docs.google.com/spreadsheets/d/1XL5vhW3sbDhbH9Cz0tuDiY8C3ctxq1tqvaCgkFb8cCA/edit?usp=sharing"",""บุรีรัมย์!J343"")"),1)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IFERROR(__xludf.DUMMYFUNCTION("IMPORTRANGE(""https://docs.google.com/spreadsheets/d/1XL5vhW3sbDhbH9Cz0tuDiY8C3ctxq1tqvaCgkFb8cCA/edit?usp=sharing"",""บุรีรัมย์!I344"")"),20)</f>
        <v>20</v>
      </c>
      <c r="J449" s="201">
        <f ca="1">IFERROR(__xludf.DUMMYFUNCTION("IMPORTRANGE(""https://docs.google.com/spreadsheets/d/1XL5vhW3sbDhbH9Cz0tuDiY8C3ctxq1tqvaCgkFb8cCA/edit?usp=sharing"",""บุรีรัมย์!J344"")"),20)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IFERROR(__xludf.DUMMYFUNCTION("IMPORTRANGE(""https://docs.google.com/spreadsheets/d/1XL5vhW3sbDhbH9Cz0tuDiY8C3ctxq1tqvaCgkFb8cCA/edit?usp=sharing"",""บุรีรัมย์!I345"")"),20)</f>
        <v>20</v>
      </c>
      <c r="J450" s="189">
        <f ca="1">IFERROR(__xludf.DUMMYFUNCTION("IMPORTRANGE(""https://docs.google.com/spreadsheets/d/1XL5vhW3sbDhbH9Cz0tuDiY8C3ctxq1tqvaCgkFb8cCA/edit?usp=sharing"",""บุรีรัมย์!J345"")"),20)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IFERROR(__xludf.DUMMYFUNCTION("IMPORTRANGE(""https://docs.google.com/spreadsheets/d/1XL5vhW3sbDhbH9Cz0tuDiY8C3ctxq1tqvaCgkFb8cCA/edit?usp=sharing"",""บุรีรัมย์!I346"")"),0)</f>
        <v>0</v>
      </c>
      <c r="J451" s="188">
        <f ca="1">IFERROR(__xludf.DUMMYFUNCTION("IMPORTRANGE(""https://docs.google.com/spreadsheets/d/1XL5vhW3sbDhbH9Cz0tuDiY8C3ctxq1tqvaCgkFb8cCA/edit?usp=sharing"",""บุรีรัมย์!J346"")"),0)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IFERROR(__xludf.DUMMYFUNCTION("IMPORTRANGE(""https://docs.google.com/spreadsheets/d/1XL5vhW3sbDhbH9Cz0tuDiY8C3ctxq1tqvaCgkFb8cCA/edit?usp=sharing"",""บุรีรัมย์!I347"")"),0)</f>
        <v>0</v>
      </c>
      <c r="J452" s="188">
        <f ca="1">IFERROR(__xludf.DUMMYFUNCTION("IMPORTRANGE(""https://docs.google.com/spreadsheets/d/1XL5vhW3sbDhbH9Cz0tuDiY8C3ctxq1tqvaCgkFb8cCA/edit?usp=sharing"",""บุรีรัมย์!J347"")"),0)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IFERROR(__xludf.DUMMYFUNCTION("IMPORTRANGE(""https://docs.google.com/spreadsheets/d/1XL5vhW3sbDhbH9Cz0tuDiY8C3ctxq1tqvaCgkFb8cCA/edit?usp=sharing"",""บุรีรัมย์!J348"")"),0)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IFERROR(__xludf.DUMMYFUNCTION("IMPORTRANGE(""https://docs.google.com/spreadsheets/d/1XL5vhW3sbDhbH9Cz0tuDiY8C3ctxq1tqvaCgkFb8cCA/edit?usp=sharing"",""บุรีรัมย์!J349"")"),0)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IFERROR(__xludf.DUMMYFUNCTION("IMPORTRANGE(""https://docs.google.com/spreadsheets/d/1XL5vhW3sbDhbH9Cz0tuDiY8C3ctxq1tqvaCgkFb8cCA/edit?usp=sharing"",""บุรีรัมย์!I350"")"),32922)</f>
        <v>32922</v>
      </c>
      <c r="J455" s="371">
        <f ca="1">IFERROR(__xludf.DUMMYFUNCTION("IMPORTRANGE(""https://docs.google.com/spreadsheets/d/1XL5vhW3sbDhbH9Cz0tuDiY8C3ctxq1tqvaCgkFb8cCA/edit?usp=sharing"",""บุรีรัมย์!J350"")"),40310)</f>
        <v>40310</v>
      </c>
      <c r="K455" s="372">
        <f ca="1">IF(I455&gt;0,J455*100/I455,0)</f>
        <v>122.44092096470445</v>
      </c>
      <c r="L455" s="373">
        <f ca="1">IFERROR(__xludf.DUMMYFUNCTION("IMPORTRANGE(""https://docs.google.com/spreadsheets/d/1XL5vhW3sbDhbH9Cz0tuDiY8C3ctxq1tqvaCgkFb8cCA/edit?usp=sharing"",""บุรีรัมย์!L350"")"),1347897)</f>
        <v>1347897</v>
      </c>
      <c r="M455" s="373"/>
      <c r="N455" s="373">
        <f ca="1">IFERROR(__xludf.DUMMYFUNCTION("IMPORTRANGE(""https://docs.google.com/spreadsheets/d/1XL5vhW3sbDhbH9Cz0tuDiY8C3ctxq1tqvaCgkFb8cCA/edit?usp=sharing"",""บุรีรัมย์!M350"")"),161277.07)</f>
        <v>161277.07</v>
      </c>
      <c r="O455" s="373">
        <f t="shared" ref="O455:O459" ca="1" si="116">+IF(L455&gt;0,N455*100/L455,0)</f>
        <v>11.965088578726712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IFERROR(__xludf.DUMMYFUNCTION("IMPORTRANGE(""https://docs.google.com/spreadsheets/d/1XL5vhW3sbDhbH9Cz0tuDiY8C3ctxq1tqvaCgkFb8cCA/edit?usp=sharing"",""บุรีรัมย์!L351"")"),0)</f>
        <v>0</v>
      </c>
      <c r="M456" s="164"/>
      <c r="N456" s="169">
        <f ca="1">IFERROR(__xludf.DUMMYFUNCTION("IMPORTRANGE(""https://docs.google.com/spreadsheets/d/1XL5vhW3sbDhbH9Cz0tuDiY8C3ctxq1tqvaCgkFb8cCA/edit?usp=sharing"",""บุรีรัมย์!M351"")"),0)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IFERROR(__xludf.DUMMYFUNCTION("IMPORTRANGE(""https://docs.google.com/spreadsheets/d/1XL5vhW3sbDhbH9Cz0tuDiY8C3ctxq1tqvaCgkFb8cCA/edit?usp=sharing"",""บุรีรัมย์!L352"")"),1347897)</f>
        <v>1347897</v>
      </c>
      <c r="M457" s="165"/>
      <c r="N457" s="169">
        <f ca="1">IFERROR(__xludf.DUMMYFUNCTION("IMPORTRANGE(""https://docs.google.com/spreadsheets/d/1XL5vhW3sbDhbH9Cz0tuDiY8C3ctxq1tqvaCgkFb8cCA/edit?usp=sharing"",""บุรีรัมย์!M352"")"),161277.07)</f>
        <v>161277.07</v>
      </c>
      <c r="O457" s="169">
        <f t="shared" ca="1" si="116"/>
        <v>11.965088578726712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IFERROR(__xludf.DUMMYFUNCTION("IMPORTRANGE(""https://docs.google.com/spreadsheets/d/1XL5vhW3sbDhbH9Cz0tuDiY8C3ctxq1tqvaCgkFb8cCA/edit?usp=sharing"",""บุรีรัมย์!L353"")"),0)</f>
        <v>0</v>
      </c>
      <c r="M458" s="169"/>
      <c r="N458" s="169">
        <f ca="1">IFERROR(__xludf.DUMMYFUNCTION("IMPORTRANGE(""https://docs.google.com/spreadsheets/d/1XL5vhW3sbDhbH9Cz0tuDiY8C3ctxq1tqvaCgkFb8cCA/edit?usp=sharing"",""บุรีรัมย์!M353"")"),0)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IFERROR(__xludf.DUMMYFUNCTION("IMPORTRANGE(""https://docs.google.com/spreadsheets/d/1XL5vhW3sbDhbH9Cz0tuDiY8C3ctxq1tqvaCgkFb8cCA/edit?usp=sharing"",""บุรีรัมย์!L354"")"),1347897)</f>
        <v>1347897</v>
      </c>
      <c r="M459" s="169"/>
      <c r="N459" s="169">
        <f ca="1">IFERROR(__xludf.DUMMYFUNCTION("IMPORTRANGE(""https://docs.google.com/spreadsheets/d/1XL5vhW3sbDhbH9Cz0tuDiY8C3ctxq1tqvaCgkFb8cCA/edit?usp=sharing"",""บุรีรัมย์!M354"")"),161277.07)</f>
        <v>161277.07</v>
      </c>
      <c r="O459" s="169">
        <f t="shared" ca="1" si="116"/>
        <v>11.965088578726712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IFERROR(__xludf.DUMMYFUNCTION("IMPORTRANGE(""https://docs.google.com/spreadsheets/d/1XL5vhW3sbDhbH9Cz0tuDiY8C3ctxq1tqvaCgkFb8cCA/edit?usp=sharing"",""บุรีรัมย์!M355"")"),0)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IFERROR(__xludf.DUMMYFUNCTION("IMPORTRANGE(""https://docs.google.com/spreadsheets/d/1XL5vhW3sbDhbH9Cz0tuDiY8C3ctxq1tqvaCgkFb8cCA/edit?usp=sharing"",""บุรีรัมย์!M356"")"),0)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IFERROR(__xludf.DUMMYFUNCTION("IMPORTRANGE(""https://docs.google.com/spreadsheets/d/1XL5vhW3sbDhbH9Cz0tuDiY8C3ctxq1tqvaCgkFb8cCA/edit?usp=sharing"",""บุรีรัมย์!M357"")"),62833.32)</f>
        <v>62833.32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IFERROR(__xludf.DUMMYFUNCTION("IMPORTRANGE(""https://docs.google.com/spreadsheets/d/1XL5vhW3sbDhbH9Cz0tuDiY8C3ctxq1tqvaCgkFb8cCA/edit?usp=sharing"",""บุรีรัมย์!M358"")"),98443.75)</f>
        <v>98443.75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IFERROR(__xludf.DUMMYFUNCTION("IMPORTRANGE(""https://docs.google.com/spreadsheets/d/1XL5vhW3sbDhbH9Cz0tuDiY8C3ctxq1tqvaCgkFb8cCA/edit?usp=sharing"",""บุรีรัมย์!I359"")"),32922)</f>
        <v>32922</v>
      </c>
      <c r="J464" s="267">
        <f ca="1">IFERROR(__xludf.DUMMYFUNCTION("IMPORTRANGE(""https://docs.google.com/spreadsheets/d/1XL5vhW3sbDhbH9Cz0tuDiY8C3ctxq1tqvaCgkFb8cCA/edit?usp=sharing"",""บุรีรัมย์!J359"")"),40310)</f>
        <v>40310</v>
      </c>
      <c r="K464" s="268">
        <f t="shared" ref="K464:K515" ca="1" si="117">IF(I464&gt;0,J464*100/I464,0)</f>
        <v>122.44092096470445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IFERROR(__xludf.DUMMYFUNCTION("IMPORTRANGE(""https://docs.google.com/spreadsheets/d/1XL5vhW3sbDhbH9Cz0tuDiY8C3ctxq1tqvaCgkFb8cCA/edit?usp=sharing"",""บุรีรัมย์!I360"")"),32922)</f>
        <v>32922</v>
      </c>
      <c r="J465" s="420">
        <f ca="1">IFERROR(__xludf.DUMMYFUNCTION("IMPORTRANGE(""https://docs.google.com/spreadsheets/d/1XL5vhW3sbDhbH9Cz0tuDiY8C3ctxq1tqvaCgkFb8cCA/edit?usp=sharing"",""บุรีรัมย์!J360"")"),32923)</f>
        <v>32923</v>
      </c>
      <c r="K465" s="202">
        <f t="shared" ca="1" si="117"/>
        <v>100.00303748253448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IFERROR(__xludf.DUMMYFUNCTION("IMPORTRANGE(""https://docs.google.com/spreadsheets/d/1XL5vhW3sbDhbH9Cz0tuDiY8C3ctxq1tqvaCgkFb8cCA/edit?usp=sharing"",""บุรีรัมย์!I361"")"),5104)</f>
        <v>5104</v>
      </c>
      <c r="J466" s="420">
        <f ca="1">IFERROR(__xludf.DUMMYFUNCTION("IMPORTRANGE(""https://docs.google.com/spreadsheets/d/1XL5vhW3sbDhbH9Cz0tuDiY8C3ctxq1tqvaCgkFb8cCA/edit?usp=sharing"",""บุรีรัมย์!J361"")"),5104)</f>
        <v>5104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IFERROR(__xludf.DUMMYFUNCTION("IMPORTRANGE(""https://docs.google.com/spreadsheets/d/1XL5vhW3sbDhbH9Cz0tuDiY8C3ctxq1tqvaCgkFb8cCA/edit?usp=sharing"",""บุรีรัมย์!I362"")"),0)</f>
        <v>0</v>
      </c>
      <c r="J467" s="189">
        <f ca="1">IFERROR(__xludf.DUMMYFUNCTION("IMPORTRANGE(""https://docs.google.com/spreadsheets/d/1XL5vhW3sbDhbH9Cz0tuDiY8C3ctxq1tqvaCgkFb8cCA/edit?usp=sharing"",""บุรีรัมย์!J362"")"),21664)</f>
        <v>21664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IFERROR(__xludf.DUMMYFUNCTION("IMPORTRANGE(""https://docs.google.com/spreadsheets/d/1XL5vhW3sbDhbH9Cz0tuDiY8C3ctxq1tqvaCgkFb8cCA/edit?usp=sharing"",""บุรีรัมย์!I363"")"),0)</f>
        <v>0</v>
      </c>
      <c r="J468" s="189">
        <f ca="1">IFERROR(__xludf.DUMMYFUNCTION("IMPORTRANGE(""https://docs.google.com/spreadsheets/d/1XL5vhW3sbDhbH9Cz0tuDiY8C3ctxq1tqvaCgkFb8cCA/edit?usp=sharing"",""บุรีรัมย์!J363"")"),4043)</f>
        <v>4043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IFERROR(__xludf.DUMMYFUNCTION("IMPORTRANGE(""https://docs.google.com/spreadsheets/d/1XL5vhW3sbDhbH9Cz0tuDiY8C3ctxq1tqvaCgkFb8cCA/edit?usp=sharing"",""บุรีรัมย์!I364"")"),0)</f>
        <v>0</v>
      </c>
      <c r="J469" s="189">
        <f ca="1">IFERROR(__xludf.DUMMYFUNCTION("IMPORTRANGE(""https://docs.google.com/spreadsheets/d/1XL5vhW3sbDhbH9Cz0tuDiY8C3ctxq1tqvaCgkFb8cCA/edit?usp=sharing"",""บุรีรัมย์!J364"")"),10349)</f>
        <v>10349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IFERROR(__xludf.DUMMYFUNCTION("IMPORTRANGE(""https://docs.google.com/spreadsheets/d/1XL5vhW3sbDhbH9Cz0tuDiY8C3ctxq1tqvaCgkFb8cCA/edit?usp=sharing"",""บุรีรัมย์!I365"")"),0)</f>
        <v>0</v>
      </c>
      <c r="J470" s="189">
        <f ca="1">IFERROR(__xludf.DUMMYFUNCTION("IMPORTRANGE(""https://docs.google.com/spreadsheets/d/1XL5vhW3sbDhbH9Cz0tuDiY8C3ctxq1tqvaCgkFb8cCA/edit?usp=sharing"",""บุรีรัมย์!J365"")"),946)</f>
        <v>946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IFERROR(__xludf.DUMMYFUNCTION("IMPORTRANGE(""https://docs.google.com/spreadsheets/d/1XL5vhW3sbDhbH9Cz0tuDiY8C3ctxq1tqvaCgkFb8cCA/edit?usp=sharing"",""บุรีรัมย์!I366"")"),0)</f>
        <v>0</v>
      </c>
      <c r="J471" s="189">
        <f ca="1">IFERROR(__xludf.DUMMYFUNCTION("IMPORTRANGE(""https://docs.google.com/spreadsheets/d/1XL5vhW3sbDhbH9Cz0tuDiY8C3ctxq1tqvaCgkFb8cCA/edit?usp=sharing"",""บุรีรัมย์!J366"")"),910)</f>
        <v>910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IFERROR(__xludf.DUMMYFUNCTION("IMPORTRANGE(""https://docs.google.com/spreadsheets/d/1XL5vhW3sbDhbH9Cz0tuDiY8C3ctxq1tqvaCgkFb8cCA/edit?usp=sharing"",""บุรีรัมย์!I367"")"),0)</f>
        <v>0</v>
      </c>
      <c r="J472" s="189">
        <f ca="1">IFERROR(__xludf.DUMMYFUNCTION("IMPORTRANGE(""https://docs.google.com/spreadsheets/d/1XL5vhW3sbDhbH9Cz0tuDiY8C3ctxq1tqvaCgkFb8cCA/edit?usp=sharing"",""บุรีรัมย์!J367"")"),115)</f>
        <v>115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IFERROR(__xludf.DUMMYFUNCTION("IMPORTRANGE(""https://docs.google.com/spreadsheets/d/1XL5vhW3sbDhbH9Cz0tuDiY8C3ctxq1tqvaCgkFb8cCA/edit?usp=sharing"",""บุรีรัมย์!I368"")"),32922)</f>
        <v>32922</v>
      </c>
      <c r="J473" s="420">
        <f ca="1">IFERROR(__xludf.DUMMYFUNCTION("IMPORTRANGE(""https://docs.google.com/spreadsheets/d/1XL5vhW3sbDhbH9Cz0tuDiY8C3ctxq1tqvaCgkFb8cCA/edit?usp=sharing"",""บุรีรัมย์!J368"")"),41138)</f>
        <v>41138</v>
      </c>
      <c r="K473" s="202">
        <f t="shared" ca="1" si="117"/>
        <v>124.95595650325011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IFERROR(__xludf.DUMMYFUNCTION("IMPORTRANGE(""https://docs.google.com/spreadsheets/d/1XL5vhW3sbDhbH9Cz0tuDiY8C3ctxq1tqvaCgkFb8cCA/edit?usp=sharing"",""บุรีรัมย์!I369"")"),5104)</f>
        <v>5104</v>
      </c>
      <c r="J474" s="420">
        <f ca="1">IFERROR(__xludf.DUMMYFUNCTION("IMPORTRANGE(""https://docs.google.com/spreadsheets/d/1XL5vhW3sbDhbH9Cz0tuDiY8C3ctxq1tqvaCgkFb8cCA/edit?usp=sharing"",""บุรีรัมย์!J369"")"),5102)</f>
        <v>5102</v>
      </c>
      <c r="K474" s="202">
        <f t="shared" ca="1" si="117"/>
        <v>99.960815047021939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IFERROR(__xludf.DUMMYFUNCTION("IMPORTRANGE(""https://docs.google.com/spreadsheets/d/1XL5vhW3sbDhbH9Cz0tuDiY8C3ctxq1tqvaCgkFb8cCA/edit?usp=sharing"",""บุรีรัมย์!I370"")"),0)</f>
        <v>0</v>
      </c>
      <c r="J475" s="189">
        <f ca="1">IFERROR(__xludf.DUMMYFUNCTION("IMPORTRANGE(""https://docs.google.com/spreadsheets/d/1XL5vhW3sbDhbH9Cz0tuDiY8C3ctxq1tqvaCgkFb8cCA/edit?usp=sharing"",""บุรีรัมย์!J370"")"),32923)</f>
        <v>32923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IFERROR(__xludf.DUMMYFUNCTION("IMPORTRANGE(""https://docs.google.com/spreadsheets/d/1XL5vhW3sbDhbH9Cz0tuDiY8C3ctxq1tqvaCgkFb8cCA/edit?usp=sharing"",""บุรีรัมย์!I371"")"),0)</f>
        <v>0</v>
      </c>
      <c r="J476" s="189">
        <f ca="1">IFERROR(__xludf.DUMMYFUNCTION("IMPORTRANGE(""https://docs.google.com/spreadsheets/d/1XL5vhW3sbDhbH9Cz0tuDiY8C3ctxq1tqvaCgkFb8cCA/edit?usp=sharing"",""บุรีรัมย์!J371"")"),4341)</f>
        <v>4341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IFERROR(__xludf.DUMMYFUNCTION("IMPORTRANGE(""https://docs.google.com/spreadsheets/d/1XL5vhW3sbDhbH9Cz0tuDiY8C3ctxq1tqvaCgkFb8cCA/edit?usp=sharing"",""บุรีรัมย์!I372"")"),0)</f>
        <v>0</v>
      </c>
      <c r="J477" s="189">
        <f ca="1">IFERROR(__xludf.DUMMYFUNCTION("IMPORTRANGE(""https://docs.google.com/spreadsheets/d/1XL5vhW3sbDhbH9Cz0tuDiY8C3ctxq1tqvaCgkFb8cCA/edit?usp=sharing"",""บุรีรัมย์!J372"")"),7279)</f>
        <v>7279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IFERROR(__xludf.DUMMYFUNCTION("IMPORTRANGE(""https://docs.google.com/spreadsheets/d/1XL5vhW3sbDhbH9Cz0tuDiY8C3ctxq1tqvaCgkFb8cCA/edit?usp=sharing"",""บุรีรัมย์!I373"")"),0)</f>
        <v>0</v>
      </c>
      <c r="J478" s="189">
        <f ca="1">IFERROR(__xludf.DUMMYFUNCTION("IMPORTRANGE(""https://docs.google.com/spreadsheets/d/1XL5vhW3sbDhbH9Cz0tuDiY8C3ctxq1tqvaCgkFb8cCA/edit?usp=sharing"",""บุรีรัมย์!J373"")"),657)</f>
        <v>657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IFERROR(__xludf.DUMMYFUNCTION("IMPORTRANGE(""https://docs.google.com/spreadsheets/d/1XL5vhW3sbDhbH9Cz0tuDiY8C3ctxq1tqvaCgkFb8cCA/edit?usp=sharing"",""บุรีรัมย์!I374"")"),0)</f>
        <v>0</v>
      </c>
      <c r="J479" s="189">
        <f ca="1">IFERROR(__xludf.DUMMYFUNCTION("IMPORTRANGE(""https://docs.google.com/spreadsheets/d/1XL5vhW3sbDhbH9Cz0tuDiY8C3ctxq1tqvaCgkFb8cCA/edit?usp=sharing"",""บุรีรัมย์!J374"")"),936)</f>
        <v>936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IFERROR(__xludf.DUMMYFUNCTION("IMPORTRANGE(""https://docs.google.com/spreadsheets/d/1XL5vhW3sbDhbH9Cz0tuDiY8C3ctxq1tqvaCgkFb8cCA/edit?usp=sharing"",""บุรีรัมย์!I375"")"),0)</f>
        <v>0</v>
      </c>
      <c r="J480" s="189">
        <f ca="1">IFERROR(__xludf.DUMMYFUNCTION("IMPORTRANGE(""https://docs.google.com/spreadsheets/d/1XL5vhW3sbDhbH9Cz0tuDiY8C3ctxq1tqvaCgkFb8cCA/edit?usp=sharing"",""บุรีรัมย์!J375"")"),104)</f>
        <v>104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IFERROR(__xludf.DUMMYFUNCTION("IMPORTRANGE(""https://docs.google.com/spreadsheets/d/1XL5vhW3sbDhbH9Cz0tuDiY8C3ctxq1tqvaCgkFb8cCA/edit?usp=sharing"",""บุรีรัมย์!I376"")"),32922)</f>
        <v>32922</v>
      </c>
      <c r="J481" s="420">
        <f ca="1">IFERROR(__xludf.DUMMYFUNCTION("IMPORTRANGE(""https://docs.google.com/spreadsheets/d/1XL5vhW3sbDhbH9Cz0tuDiY8C3ctxq1tqvaCgkFb8cCA/edit?usp=sharing"",""บุรีรัมย์!J376"")"),40310)</f>
        <v>40310</v>
      </c>
      <c r="K481" s="202">
        <f t="shared" ca="1" si="117"/>
        <v>122.44092096470445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IFERROR(__xludf.DUMMYFUNCTION("IMPORTRANGE(""https://docs.google.com/spreadsheets/d/1XL5vhW3sbDhbH9Cz0tuDiY8C3ctxq1tqvaCgkFb8cCA/edit?usp=sharing"",""บุรีรัมย์!I377"")"),5104)</f>
        <v>5104</v>
      </c>
      <c r="J482" s="420">
        <f ca="1">IFERROR(__xludf.DUMMYFUNCTION("IMPORTRANGE(""https://docs.google.com/spreadsheets/d/1XL5vhW3sbDhbH9Cz0tuDiY8C3ctxq1tqvaCgkFb8cCA/edit?usp=sharing"",""บุรีรัมย์!J377"")"),5015)</f>
        <v>5015</v>
      </c>
      <c r="K482" s="202">
        <f t="shared" ca="1" si="117"/>
        <v>98.256269592476485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IFERROR(__xludf.DUMMYFUNCTION("IMPORTRANGE(""https://docs.google.com/spreadsheets/d/1XL5vhW3sbDhbH9Cz0tuDiY8C3ctxq1tqvaCgkFb8cCA/edit?usp=sharing"",""บุรีรัมย์!I378"")"),0)</f>
        <v>0</v>
      </c>
      <c r="J483" s="189">
        <f ca="1">IFERROR(__xludf.DUMMYFUNCTION("IMPORTRANGE(""https://docs.google.com/spreadsheets/d/1XL5vhW3sbDhbH9Cz0tuDiY8C3ctxq1tqvaCgkFb8cCA/edit?usp=sharing"",""บุรีรัมย์!J378"")"),32923)</f>
        <v>32923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IFERROR(__xludf.DUMMYFUNCTION("IMPORTRANGE(""https://docs.google.com/spreadsheets/d/1XL5vhW3sbDhbH9Cz0tuDiY8C3ctxq1tqvaCgkFb8cCA/edit?usp=sharing"",""บุรีรัมย์!I379"")"),0)</f>
        <v>0</v>
      </c>
      <c r="J484" s="189">
        <f ca="1">IFERROR(__xludf.DUMMYFUNCTION("IMPORTRANGE(""https://docs.google.com/spreadsheets/d/1XL5vhW3sbDhbH9Cz0tuDiY8C3ctxq1tqvaCgkFb8cCA/edit?usp=sharing"",""บุรีรัมย์!J379"")"),4341)</f>
        <v>4341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IFERROR(__xludf.DUMMYFUNCTION("IMPORTRANGE(""https://docs.google.com/spreadsheets/d/1XL5vhW3sbDhbH9Cz0tuDiY8C3ctxq1tqvaCgkFb8cCA/edit?usp=sharing"",""บุรีรัมย์!I380"")"),0)</f>
        <v>0</v>
      </c>
      <c r="J485" s="189">
        <f ca="1">IFERROR(__xludf.DUMMYFUNCTION("IMPORTRANGE(""https://docs.google.com/spreadsheets/d/1XL5vhW3sbDhbH9Cz0tuDiY8C3ctxq1tqvaCgkFb8cCA/edit?usp=sharing"",""บุรีรัมย์!J380"")"),7279)</f>
        <v>7279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IFERROR(__xludf.DUMMYFUNCTION("IMPORTRANGE(""https://docs.google.com/spreadsheets/d/1XL5vhW3sbDhbH9Cz0tuDiY8C3ctxq1tqvaCgkFb8cCA/edit?usp=sharing"",""บุรีรัมย์!I381"")"),0)</f>
        <v>0</v>
      </c>
      <c r="J486" s="189">
        <f ca="1">IFERROR(__xludf.DUMMYFUNCTION("IMPORTRANGE(""https://docs.google.com/spreadsheets/d/1XL5vhW3sbDhbH9Cz0tuDiY8C3ctxq1tqvaCgkFb8cCA/edit?usp=sharing"",""บุรีรัมย์!J381"")"),657)</f>
        <v>657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IFERROR(__xludf.DUMMYFUNCTION("IMPORTRANGE(""https://docs.google.com/spreadsheets/d/1XL5vhW3sbDhbH9Cz0tuDiY8C3ctxq1tqvaCgkFb8cCA/edit?usp=sharing"",""บุรีรัมย์!I382"")"),0)</f>
        <v>0</v>
      </c>
      <c r="J487" s="420">
        <f ca="1">IFERROR(__xludf.DUMMYFUNCTION("IMPORTRANGE(""https://docs.google.com/spreadsheets/d/1XL5vhW3sbDhbH9Cz0tuDiY8C3ctxq1tqvaCgkFb8cCA/edit?usp=sharing"",""บุรีรัมย์!J382"")"),108)</f>
        <v>108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IFERROR(__xludf.DUMMYFUNCTION("IMPORTRANGE(""https://docs.google.com/spreadsheets/d/1XL5vhW3sbDhbH9Cz0tuDiY8C3ctxq1tqvaCgkFb8cCA/edit?usp=sharing"",""บุรีรัมย์!I383"")"),0)</f>
        <v>0</v>
      </c>
      <c r="J488" s="420">
        <f ca="1">IFERROR(__xludf.DUMMYFUNCTION("IMPORTRANGE(""https://docs.google.com/spreadsheets/d/1XL5vhW3sbDhbH9Cz0tuDiY8C3ctxq1tqvaCgkFb8cCA/edit?usp=sharing"",""บุรีรัมย์!J383"")"),17)</f>
        <v>17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IFERROR(__xludf.DUMMYFUNCTION("IMPORTRANGE(""https://docs.google.com/spreadsheets/d/1XL5vhW3sbDhbH9Cz0tuDiY8C3ctxq1tqvaCgkFb8cCA/edit?usp=sharing"",""บุรีรัมย์!I384"")"),0)</f>
        <v>0</v>
      </c>
      <c r="J489" s="189">
        <f ca="1">IFERROR(__xludf.DUMMYFUNCTION("IMPORTRANGE(""https://docs.google.com/spreadsheets/d/1XL5vhW3sbDhbH9Cz0tuDiY8C3ctxq1tqvaCgkFb8cCA/edit?usp=sharing"",""บุรีรัมย์!J384"")"),108)</f>
        <v>108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IFERROR(__xludf.DUMMYFUNCTION("IMPORTRANGE(""https://docs.google.com/spreadsheets/d/1XL5vhW3sbDhbH9Cz0tuDiY8C3ctxq1tqvaCgkFb8cCA/edit?usp=sharing"",""บุรีรัมย์!I385"")"),0)</f>
        <v>0</v>
      </c>
      <c r="J490" s="189">
        <f ca="1">IFERROR(__xludf.DUMMYFUNCTION("IMPORTRANGE(""https://docs.google.com/spreadsheets/d/1XL5vhW3sbDhbH9Cz0tuDiY8C3ctxq1tqvaCgkFb8cCA/edit?usp=sharing"",""บุรีรัมย์!J385"")"),17)</f>
        <v>17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IFERROR(__xludf.DUMMYFUNCTION("IMPORTRANGE(""https://docs.google.com/spreadsheets/d/1XL5vhW3sbDhbH9Cz0tuDiY8C3ctxq1tqvaCgkFb8cCA/edit?usp=sharing"",""บุรีรัมย์!I386"")"),0)</f>
        <v>0</v>
      </c>
      <c r="J491" s="189">
        <f ca="1">IFERROR(__xludf.DUMMYFUNCTION("IMPORTRANGE(""https://docs.google.com/spreadsheets/d/1XL5vhW3sbDhbH9Cz0tuDiY8C3ctxq1tqvaCgkFb8cCA/edit?usp=sharing"",""บุรีรัมย์!J386"")"),0)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IFERROR(__xludf.DUMMYFUNCTION("IMPORTRANGE(""https://docs.google.com/spreadsheets/d/1XL5vhW3sbDhbH9Cz0tuDiY8C3ctxq1tqvaCgkFb8cCA/edit?usp=sharing"",""บุรีรัมย์!I387"")"),0)</f>
        <v>0</v>
      </c>
      <c r="J492" s="189">
        <f ca="1">IFERROR(__xludf.DUMMYFUNCTION("IMPORTRANGE(""https://docs.google.com/spreadsheets/d/1XL5vhW3sbDhbH9Cz0tuDiY8C3ctxq1tqvaCgkFb8cCA/edit?usp=sharing"",""บุรีรัมย์!J387"")"),0)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IFERROR(__xludf.DUMMYFUNCTION("IMPORTRANGE(""https://docs.google.com/spreadsheets/d/1XL5vhW3sbDhbH9Cz0tuDiY8C3ctxq1tqvaCgkFb8cCA/edit?usp=sharing"",""บุรีรัมย์!I388"")"),0)</f>
        <v>0</v>
      </c>
      <c r="J493" s="189">
        <f ca="1">IFERROR(__xludf.DUMMYFUNCTION("IMPORTRANGE(""https://docs.google.com/spreadsheets/d/1XL5vhW3sbDhbH9Cz0tuDiY8C3ctxq1tqvaCgkFb8cCA/edit?usp=sharing"",""บุรีรัมย์!J388"")"),0)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IFERROR(__xludf.DUMMYFUNCTION("IMPORTRANGE(""https://docs.google.com/spreadsheets/d/1XL5vhW3sbDhbH9Cz0tuDiY8C3ctxq1tqvaCgkFb8cCA/edit?usp=sharing"",""บุรีรัมย์!I389"")"),0)</f>
        <v>0</v>
      </c>
      <c r="J494" s="436">
        <f ca="1">IFERROR(__xludf.DUMMYFUNCTION("IMPORTRANGE(""https://docs.google.com/spreadsheets/d/1XL5vhW3sbDhbH9Cz0tuDiY8C3ctxq1tqvaCgkFb8cCA/edit?usp=sharing"",""บุรีรัมย์!J389"")"),0)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IFERROR(__xludf.DUMMYFUNCTION("IMPORTRANGE(""https://docs.google.com/spreadsheets/d/1XL5vhW3sbDhbH9Cz0tuDiY8C3ctxq1tqvaCgkFb8cCA/edit?usp=sharing"",""บุรีรัมย์!I390"")"),0)</f>
        <v>0</v>
      </c>
      <c r="J495" s="436">
        <f ca="1">IFERROR(__xludf.DUMMYFUNCTION("IMPORTRANGE(""https://docs.google.com/spreadsheets/d/1XL5vhW3sbDhbH9Cz0tuDiY8C3ctxq1tqvaCgkFb8cCA/edit?usp=sharing"",""บุรีรัมย์!J390"")"),0)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IFERROR(__xludf.DUMMYFUNCTION("IMPORTRANGE(""https://docs.google.com/spreadsheets/d/1XL5vhW3sbDhbH9Cz0tuDiY8C3ctxq1tqvaCgkFb8cCA/edit?usp=sharing"",""บุรีรัมย์!I391"")"),0)</f>
        <v>0</v>
      </c>
      <c r="J496" s="436">
        <f ca="1">IFERROR(__xludf.DUMMYFUNCTION("IMPORTRANGE(""https://docs.google.com/spreadsheets/d/1XL5vhW3sbDhbH9Cz0tuDiY8C3ctxq1tqvaCgkFb8cCA/edit?usp=sharing"",""บุรีรัมย์!J391"")"),0)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IFERROR(__xludf.DUMMYFUNCTION("IMPORTRANGE(""https://docs.google.com/spreadsheets/d/1XL5vhW3sbDhbH9Cz0tuDiY8C3ctxq1tqvaCgkFb8cCA/edit?usp=sharing"",""บุรีรัมย์!I392"")"),29499)</f>
        <v>29499</v>
      </c>
      <c r="J497" s="443">
        <f ca="1">IFERROR(__xludf.DUMMYFUNCTION("IMPORTRANGE(""https://docs.google.com/spreadsheets/d/1XL5vhW3sbDhbH9Cz0tuDiY8C3ctxq1tqvaCgkFb8cCA/edit?usp=sharing"",""บุรีรัมย์!J392"")"),3156)</f>
        <v>3156</v>
      </c>
      <c r="K497" s="444">
        <f t="shared" ca="1" si="117"/>
        <v>10.698667751449202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IFERROR(__xludf.DUMMYFUNCTION("IMPORTRANGE(""https://docs.google.com/spreadsheets/d/1XL5vhW3sbDhbH9Cz0tuDiY8C3ctxq1tqvaCgkFb8cCA/edit?usp=sharing"",""บุรีรัมย์!I393"")"),29499)</f>
        <v>29499</v>
      </c>
      <c r="J498" s="420">
        <f ca="1">IFERROR(__xludf.DUMMYFUNCTION("IMPORTRANGE(""https://docs.google.com/spreadsheets/d/1XL5vhW3sbDhbH9Cz0tuDiY8C3ctxq1tqvaCgkFb8cCA/edit?usp=sharing"",""บุรีรัมย์!J393"")"),3156)</f>
        <v>3156</v>
      </c>
      <c r="K498" s="202">
        <f t="shared" ca="1" si="117"/>
        <v>10.698667751449202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IFERROR(__xludf.DUMMYFUNCTION("IMPORTRANGE(""https://docs.google.com/spreadsheets/d/1XL5vhW3sbDhbH9Cz0tuDiY8C3ctxq1tqvaCgkFb8cCA/edit?usp=sharing"",""บุรีรัมย์!I394"")"),3017)</f>
        <v>3017</v>
      </c>
      <c r="J499" s="420">
        <f ca="1">IFERROR(__xludf.DUMMYFUNCTION("IMPORTRANGE(""https://docs.google.com/spreadsheets/d/1XL5vhW3sbDhbH9Cz0tuDiY8C3ctxq1tqvaCgkFb8cCA/edit?usp=sharing"",""บุรีรัมย์!J394"")"),422)</f>
        <v>422</v>
      </c>
      <c r="K499" s="202">
        <f t="shared" ca="1" si="117"/>
        <v>13.987404706662247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IFERROR(__xludf.DUMMYFUNCTION("IMPORTRANGE(""https://docs.google.com/spreadsheets/d/1XL5vhW3sbDhbH9Cz0tuDiY8C3ctxq1tqvaCgkFb8cCA/edit?usp=sharing"",""บุรีรัมย์!I395"")"),0)</f>
        <v>0</v>
      </c>
      <c r="J500" s="162">
        <f ca="1">IFERROR(__xludf.DUMMYFUNCTION("IMPORTRANGE(""https://docs.google.com/spreadsheets/d/1XL5vhW3sbDhbH9Cz0tuDiY8C3ctxq1tqvaCgkFb8cCA/edit?usp=sharing"",""บุรีรัมย์!J395"")"),3048)</f>
        <v>3048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IFERROR(__xludf.DUMMYFUNCTION("IMPORTRANGE(""https://docs.google.com/spreadsheets/d/1XL5vhW3sbDhbH9Cz0tuDiY8C3ctxq1tqvaCgkFb8cCA/edit?usp=sharing"",""บุรีรัมย์!I396"")"),0)</f>
        <v>0</v>
      </c>
      <c r="J501" s="162">
        <f ca="1">IFERROR(__xludf.DUMMYFUNCTION("IMPORTRANGE(""https://docs.google.com/spreadsheets/d/1XL5vhW3sbDhbH9Cz0tuDiY8C3ctxq1tqvaCgkFb8cCA/edit?usp=sharing"",""บุรีรัมย์!J396"")"),405)</f>
        <v>405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IFERROR(__xludf.DUMMYFUNCTION("IMPORTRANGE(""https://docs.google.com/spreadsheets/d/1XL5vhW3sbDhbH9Cz0tuDiY8C3ctxq1tqvaCgkFb8cCA/edit?usp=sharing"",""บุรีรัมย์!I397"")"),0)</f>
        <v>0</v>
      </c>
      <c r="J502" s="189">
        <f ca="1">IFERROR(__xludf.DUMMYFUNCTION("IMPORTRANGE(""https://docs.google.com/spreadsheets/d/1XL5vhW3sbDhbH9Cz0tuDiY8C3ctxq1tqvaCgkFb8cCA/edit?usp=sharing"",""บุรีรัมย์!J397"")"),3028)</f>
        <v>3028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IFERROR(__xludf.DUMMYFUNCTION("IMPORTRANGE(""https://docs.google.com/spreadsheets/d/1XL5vhW3sbDhbH9Cz0tuDiY8C3ctxq1tqvaCgkFb8cCA/edit?usp=sharing"",""บุรีรัมย์!I398"")"),0)</f>
        <v>0</v>
      </c>
      <c r="J503" s="198">
        <f ca="1">IFERROR(__xludf.DUMMYFUNCTION("IMPORTRANGE(""https://docs.google.com/spreadsheets/d/1XL5vhW3sbDhbH9Cz0tuDiY8C3ctxq1tqvaCgkFb8cCA/edit?usp=sharing"",""บุรีรัมย์!J398"")"),400)</f>
        <v>400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IFERROR(__xludf.DUMMYFUNCTION("IMPORTRANGE(""https://docs.google.com/spreadsheets/d/1XL5vhW3sbDhbH9Cz0tuDiY8C3ctxq1tqvaCgkFb8cCA/edit?usp=sharing"",""บุรีรัมย์!I399"")"),0)</f>
        <v>0</v>
      </c>
      <c r="J504" s="189">
        <f ca="1">IFERROR(__xludf.DUMMYFUNCTION("IMPORTRANGE(""https://docs.google.com/spreadsheets/d/1XL5vhW3sbDhbH9Cz0tuDiY8C3ctxq1tqvaCgkFb8cCA/edit?usp=sharing"",""บุรีรัมย์!J399"")"),20)</f>
        <v>20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IFERROR(__xludf.DUMMYFUNCTION("IMPORTRANGE(""https://docs.google.com/spreadsheets/d/1XL5vhW3sbDhbH9Cz0tuDiY8C3ctxq1tqvaCgkFb8cCA/edit?usp=sharing"",""บุรีรัมย์!I400"")"),0)</f>
        <v>0</v>
      </c>
      <c r="J505" s="198">
        <f ca="1">IFERROR(__xludf.DUMMYFUNCTION("IMPORTRANGE(""https://docs.google.com/spreadsheets/d/1XL5vhW3sbDhbH9Cz0tuDiY8C3ctxq1tqvaCgkFb8cCA/edit?usp=sharing"",""บุรีรัมย์!J400"")"),5)</f>
        <v>5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IFERROR(__xludf.DUMMYFUNCTION("IMPORTRANGE(""https://docs.google.com/spreadsheets/d/1XL5vhW3sbDhbH9Cz0tuDiY8C3ctxq1tqvaCgkFb8cCA/edit?usp=sharing"",""บุรีรัมย์!I401"")"),0)</f>
        <v>0</v>
      </c>
      <c r="J506" s="189">
        <f ca="1">IFERROR(__xludf.DUMMYFUNCTION("IMPORTRANGE(""https://docs.google.com/spreadsheets/d/1XL5vhW3sbDhbH9Cz0tuDiY8C3ctxq1tqvaCgkFb8cCA/edit?usp=sharing"",""บุรีรัมย์!J401"")"),0)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IFERROR(__xludf.DUMMYFUNCTION("IMPORTRANGE(""https://docs.google.com/spreadsheets/d/1XL5vhW3sbDhbH9Cz0tuDiY8C3ctxq1tqvaCgkFb8cCA/edit?usp=sharing"",""บุรีรัมย์!I402"")"),0)</f>
        <v>0</v>
      </c>
      <c r="J507" s="198">
        <f ca="1">IFERROR(__xludf.DUMMYFUNCTION("IMPORTRANGE(""https://docs.google.com/spreadsheets/d/1XL5vhW3sbDhbH9Cz0tuDiY8C3ctxq1tqvaCgkFb8cCA/edit?usp=sharing"",""บุรีรัมย์!J402"")"),0)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IFERROR(__xludf.DUMMYFUNCTION("IMPORTRANGE(""https://docs.google.com/spreadsheets/d/1XL5vhW3sbDhbH9Cz0tuDiY8C3ctxq1tqvaCgkFb8cCA/edit?usp=sharing"",""บุรีรัมย์!I403"")"),0)</f>
        <v>0</v>
      </c>
      <c r="J508" s="162">
        <f ca="1">IFERROR(__xludf.DUMMYFUNCTION("IMPORTRANGE(""https://docs.google.com/spreadsheets/d/1XL5vhW3sbDhbH9Cz0tuDiY8C3ctxq1tqvaCgkFb8cCA/edit?usp=sharing"",""บุรีรัมย์!J403"")"),108)</f>
        <v>108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IFERROR(__xludf.DUMMYFUNCTION("IMPORTRANGE(""https://docs.google.com/spreadsheets/d/1XL5vhW3sbDhbH9Cz0tuDiY8C3ctxq1tqvaCgkFb8cCA/edit?usp=sharing"",""บุรีรัมย์!I404"")"),0)</f>
        <v>0</v>
      </c>
      <c r="J509" s="162">
        <f ca="1">IFERROR(__xludf.DUMMYFUNCTION("IMPORTRANGE(""https://docs.google.com/spreadsheets/d/1XL5vhW3sbDhbH9Cz0tuDiY8C3ctxq1tqvaCgkFb8cCA/edit?usp=sharing"",""บุรีรัมย์!J404"")"),17)</f>
        <v>17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IFERROR(__xludf.DUMMYFUNCTION("IMPORTRANGE(""https://docs.google.com/spreadsheets/d/1XL5vhW3sbDhbH9Cz0tuDiY8C3ctxq1tqvaCgkFb8cCA/edit?usp=sharing"",""บุรีรัมย์!I405"")"),0)</f>
        <v>0</v>
      </c>
      <c r="J510" s="198">
        <f ca="1">IFERROR(__xludf.DUMMYFUNCTION("IMPORTRANGE(""https://docs.google.com/spreadsheets/d/1XL5vhW3sbDhbH9Cz0tuDiY8C3ctxq1tqvaCgkFb8cCA/edit?usp=sharing"",""บุรีรัมย์!J405"")"),108)</f>
        <v>108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IFERROR(__xludf.DUMMYFUNCTION("IMPORTRANGE(""https://docs.google.com/spreadsheets/d/1XL5vhW3sbDhbH9Cz0tuDiY8C3ctxq1tqvaCgkFb8cCA/edit?usp=sharing"",""บุรีรัมย์!I406"")"),0)</f>
        <v>0</v>
      </c>
      <c r="J511" s="198">
        <f ca="1">IFERROR(__xludf.DUMMYFUNCTION("IMPORTRANGE(""https://docs.google.com/spreadsheets/d/1XL5vhW3sbDhbH9Cz0tuDiY8C3ctxq1tqvaCgkFb8cCA/edit?usp=sharing"",""บุรีรัมย์!J406"")"),17)</f>
        <v>17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IFERROR(__xludf.DUMMYFUNCTION("IMPORTRANGE(""https://docs.google.com/spreadsheets/d/1XL5vhW3sbDhbH9Cz0tuDiY8C3ctxq1tqvaCgkFb8cCA/edit?usp=sharing"",""บุรีรัมย์!I407"")"),0)</f>
        <v>0</v>
      </c>
      <c r="J512" s="198">
        <f ca="1">IFERROR(__xludf.DUMMYFUNCTION("IMPORTRANGE(""https://docs.google.com/spreadsheets/d/1XL5vhW3sbDhbH9Cz0tuDiY8C3ctxq1tqvaCgkFb8cCA/edit?usp=sharing"",""บุรีรัมย์!J407"")"),0)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IFERROR(__xludf.DUMMYFUNCTION("IMPORTRANGE(""https://docs.google.com/spreadsheets/d/1XL5vhW3sbDhbH9Cz0tuDiY8C3ctxq1tqvaCgkFb8cCA/edit?usp=sharing"",""บุรีรัมย์!I408"")"),0)</f>
        <v>0</v>
      </c>
      <c r="J513" s="198">
        <f ca="1">IFERROR(__xludf.DUMMYFUNCTION("IMPORTRANGE(""https://docs.google.com/spreadsheets/d/1XL5vhW3sbDhbH9Cz0tuDiY8C3ctxq1tqvaCgkFb8cCA/edit?usp=sharing"",""บุรีรัมย์!J408"")"),0)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IFERROR(__xludf.DUMMYFUNCTION("IMPORTRANGE(""https://docs.google.com/spreadsheets/d/1XL5vhW3sbDhbH9Cz0tuDiY8C3ctxq1tqvaCgkFb8cCA/edit?usp=sharing"",""บุรีรัมย์!I409"")"),0)</f>
        <v>0</v>
      </c>
      <c r="J514" s="198">
        <f ca="1">IFERROR(__xludf.DUMMYFUNCTION("IMPORTRANGE(""https://docs.google.com/spreadsheets/d/1XL5vhW3sbDhbH9Cz0tuDiY8C3ctxq1tqvaCgkFb8cCA/edit?usp=sharing"",""บุรีรัมย์!J409"")"),0)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IFERROR(__xludf.DUMMYFUNCTION("IMPORTRANGE(""https://docs.google.com/spreadsheets/d/1XL5vhW3sbDhbH9Cz0tuDiY8C3ctxq1tqvaCgkFb8cCA/edit?usp=sharing"",""บุรีรัมย์!I410"")"),0)</f>
        <v>0</v>
      </c>
      <c r="J515" s="198">
        <f ca="1">IFERROR(__xludf.DUMMYFUNCTION("IMPORTRANGE(""https://docs.google.com/spreadsheets/d/1XL5vhW3sbDhbH9Cz0tuDiY8C3ctxq1tqvaCgkFb8cCA/edit?usp=sharing"",""บุรีรัมย์!J410"")"),0)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IFERROR(__xludf.DUMMYFUNCTION("IMPORTRANGE(""https://docs.google.com/spreadsheets/d/1XL5vhW3sbDhbH9Cz0tuDiY8C3ctxq1tqvaCgkFb8cCA/edit?usp=sharing"",""บุรีรัมย์!I411"")"),0)</f>
        <v>0</v>
      </c>
      <c r="J516" s="267">
        <f ca="1">IFERROR(__xludf.DUMMYFUNCTION("IMPORTRANGE(""https://docs.google.com/spreadsheets/d/1XL5vhW3sbDhbH9Cz0tuDiY8C3ctxq1tqvaCgkFb8cCA/edit?usp=sharing"",""บุรีรัมย์!J411"")"),0)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IFERROR(__xludf.DUMMYFUNCTION("IMPORTRANGE(""https://docs.google.com/spreadsheets/d/1XL5vhW3sbDhbH9Cz0tuDiY8C3ctxq1tqvaCgkFb8cCA/edit?usp=sharing"",""บุรีรัมย์!I412"")"),0)</f>
        <v>0</v>
      </c>
      <c r="J517" s="284">
        <f ca="1">IFERROR(__xludf.DUMMYFUNCTION("IMPORTRANGE(""https://docs.google.com/spreadsheets/d/1XL5vhW3sbDhbH9Cz0tuDiY8C3ctxq1tqvaCgkFb8cCA/edit?usp=sharing"",""บุรีรัมย์!J412"")"),0)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IFERROR(__xludf.DUMMYFUNCTION("IMPORTRANGE(""https://docs.google.com/spreadsheets/d/1XL5vhW3sbDhbH9Cz0tuDiY8C3ctxq1tqvaCgkFb8cCA/edit?usp=sharing"",""บุรีรัมย์!I413"")"),0)</f>
        <v>0</v>
      </c>
      <c r="J518" s="284">
        <f ca="1">IFERROR(__xludf.DUMMYFUNCTION("IMPORTRANGE(""https://docs.google.com/spreadsheets/d/1XL5vhW3sbDhbH9Cz0tuDiY8C3ctxq1tqvaCgkFb8cCA/edit?usp=sharing"",""บุรีรัมย์!J413"")"),0)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IFERROR(__xludf.DUMMYFUNCTION("IMPORTRANGE(""https://docs.google.com/spreadsheets/d/1XL5vhW3sbDhbH9Cz0tuDiY8C3ctxq1tqvaCgkFb8cCA/edit?usp=sharing"",""บุรีรัมย์!I414"")"),0)</f>
        <v>0</v>
      </c>
      <c r="J519" s="188">
        <f ca="1">IFERROR(__xludf.DUMMYFUNCTION("IMPORTRANGE(""https://docs.google.com/spreadsheets/d/1XL5vhW3sbDhbH9Cz0tuDiY8C3ctxq1tqvaCgkFb8cCA/edit?usp=sharing"",""บุรีรัมย์!J414"")"),0)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IFERROR(__xludf.DUMMYFUNCTION("IMPORTRANGE(""https://docs.google.com/spreadsheets/d/1XL5vhW3sbDhbH9Cz0tuDiY8C3ctxq1tqvaCgkFb8cCA/edit?usp=sharing"",""บุรีรัมย์!I415"")"),0)</f>
        <v>0</v>
      </c>
      <c r="J520" s="188">
        <f ca="1">IFERROR(__xludf.DUMMYFUNCTION("IMPORTRANGE(""https://docs.google.com/spreadsheets/d/1XL5vhW3sbDhbH9Cz0tuDiY8C3ctxq1tqvaCgkFb8cCA/edit?usp=sharing"",""บุรีรัมย์!J415"")"),0)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IFERROR(__xludf.DUMMYFUNCTION("IMPORTRANGE(""https://docs.google.com/spreadsheets/d/1XL5vhW3sbDhbH9Cz0tuDiY8C3ctxq1tqvaCgkFb8cCA/edit?usp=sharing"",""บุรีรัมย์!I416"")"),0)</f>
        <v>0</v>
      </c>
      <c r="J521" s="188">
        <f ca="1">IFERROR(__xludf.DUMMYFUNCTION("IMPORTRANGE(""https://docs.google.com/spreadsheets/d/1XL5vhW3sbDhbH9Cz0tuDiY8C3ctxq1tqvaCgkFb8cCA/edit?usp=sharing"",""บุรีรัมย์!J416"")"),0)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IFERROR(__xludf.DUMMYFUNCTION("IMPORTRANGE(""https://docs.google.com/spreadsheets/d/1XL5vhW3sbDhbH9Cz0tuDiY8C3ctxq1tqvaCgkFb8cCA/edit?usp=sharing"",""บุรีรัมย์!I417"")"),0)</f>
        <v>0</v>
      </c>
      <c r="J522" s="188">
        <f ca="1">IFERROR(__xludf.DUMMYFUNCTION("IMPORTRANGE(""https://docs.google.com/spreadsheets/d/1XL5vhW3sbDhbH9Cz0tuDiY8C3ctxq1tqvaCgkFb8cCA/edit?usp=sharing"",""บุรีรัมย์!J417"")"),0)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IFERROR(__xludf.DUMMYFUNCTION("IMPORTRANGE(""https://docs.google.com/spreadsheets/d/1XL5vhW3sbDhbH9Cz0tuDiY8C3ctxq1tqvaCgkFb8cCA/edit?usp=sharing"",""บุรีรัมย์!I418"")"),0)</f>
        <v>0</v>
      </c>
      <c r="J523" s="188">
        <f ca="1">IFERROR(__xludf.DUMMYFUNCTION("IMPORTRANGE(""https://docs.google.com/spreadsheets/d/1XL5vhW3sbDhbH9Cz0tuDiY8C3ctxq1tqvaCgkFb8cCA/edit?usp=sharing"",""บุรีรัมย์!J418"")"),18)</f>
        <v>18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IFERROR(__xludf.DUMMYFUNCTION("IMPORTRANGE(""https://docs.google.com/spreadsheets/d/1XL5vhW3sbDhbH9Cz0tuDiY8C3ctxq1tqvaCgkFb8cCA/edit?usp=sharing"",""บุรีรัมย์!I419"")"),0)</f>
        <v>0</v>
      </c>
      <c r="J524" s="188">
        <f ca="1">IFERROR(__xludf.DUMMYFUNCTION("IMPORTRANGE(""https://docs.google.com/spreadsheets/d/1XL5vhW3sbDhbH9Cz0tuDiY8C3ctxq1tqvaCgkFb8cCA/edit?usp=sharing"",""บุรีรัมย์!J419"")"),8)</f>
        <v>8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IFERROR(__xludf.DUMMYFUNCTION("IMPORTRANGE(""https://docs.google.com/spreadsheets/d/1XL5vhW3sbDhbH9Cz0tuDiY8C3ctxq1tqvaCgkFb8cCA/edit?usp=sharing"",""บุรีรัมย์!I420"")"),18)</f>
        <v>18</v>
      </c>
      <c r="J525" s="284">
        <f ca="1">IFERROR(__xludf.DUMMYFUNCTION("IMPORTRANGE(""https://docs.google.com/spreadsheets/d/1XL5vhW3sbDhbH9Cz0tuDiY8C3ctxq1tqvaCgkFb8cCA/edit?usp=sharing"",""บุรีรัมย์!J420"")"),0)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IFERROR(__xludf.DUMMYFUNCTION("IMPORTRANGE(""https://docs.google.com/spreadsheets/d/1XL5vhW3sbDhbH9Cz0tuDiY8C3ctxq1tqvaCgkFb8cCA/edit?usp=sharing"",""บุรีรัมย์!I421"")"),8)</f>
        <v>8</v>
      </c>
      <c r="J526" s="284">
        <f ca="1">IFERROR(__xludf.DUMMYFUNCTION("IMPORTRANGE(""https://docs.google.com/spreadsheets/d/1XL5vhW3sbDhbH9Cz0tuDiY8C3ctxq1tqvaCgkFb8cCA/edit?usp=sharing"",""บุรีรัมย์!J421"")"),0)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IFERROR(__xludf.DUMMYFUNCTION("IMPORTRANGE(""https://docs.google.com/spreadsheets/d/1XL5vhW3sbDhbH9Cz0tuDiY8C3ctxq1tqvaCgkFb8cCA/edit?usp=sharing"",""บุรีรัมย์!I422"")"),0)</f>
        <v>0</v>
      </c>
      <c r="J527" s="198">
        <f ca="1">IFERROR(__xludf.DUMMYFUNCTION("IMPORTRANGE(""https://docs.google.com/spreadsheets/d/1XL5vhW3sbDhbH9Cz0tuDiY8C3ctxq1tqvaCgkFb8cCA/edit?usp=sharing"",""บุรีรัมย์!J422"")"),0)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IFERROR(__xludf.DUMMYFUNCTION("IMPORTRANGE(""https://docs.google.com/spreadsheets/d/1XL5vhW3sbDhbH9Cz0tuDiY8C3ctxq1tqvaCgkFb8cCA/edit?usp=sharing"",""บุรีรัมย์!I423"")"),0)</f>
        <v>0</v>
      </c>
      <c r="J528" s="198">
        <f ca="1">IFERROR(__xludf.DUMMYFUNCTION("IMPORTRANGE(""https://docs.google.com/spreadsheets/d/1XL5vhW3sbDhbH9Cz0tuDiY8C3ctxq1tqvaCgkFb8cCA/edit?usp=sharing"",""บุรีรัมย์!J423"")"),0)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IFERROR(__xludf.DUMMYFUNCTION("IMPORTRANGE(""https://docs.google.com/spreadsheets/d/1XL5vhW3sbDhbH9Cz0tuDiY8C3ctxq1tqvaCgkFb8cCA/edit?usp=sharing"",""บุรีรัมย์!I424"")"),0)</f>
        <v>0</v>
      </c>
      <c r="J529" s="198">
        <f ca="1">IFERROR(__xludf.DUMMYFUNCTION("IMPORTRANGE(""https://docs.google.com/spreadsheets/d/1XL5vhW3sbDhbH9Cz0tuDiY8C3ctxq1tqvaCgkFb8cCA/edit?usp=sharing"",""บุรีรัมย์!J424"")"),0)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IFERROR(__xludf.DUMMYFUNCTION("IMPORTRANGE(""https://docs.google.com/spreadsheets/d/1XL5vhW3sbDhbH9Cz0tuDiY8C3ctxq1tqvaCgkFb8cCA/edit?usp=sharing"",""บุรีรัมย์!I425"")"),0)</f>
        <v>0</v>
      </c>
      <c r="J530" s="198">
        <f ca="1">IFERROR(__xludf.DUMMYFUNCTION("IMPORTRANGE(""https://docs.google.com/spreadsheets/d/1XL5vhW3sbDhbH9Cz0tuDiY8C3ctxq1tqvaCgkFb8cCA/edit?usp=sharing"",""บุรีรัมย์!J425"")"),0)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IFERROR(__xludf.DUMMYFUNCTION("IMPORTRANGE(""https://docs.google.com/spreadsheets/d/1XL5vhW3sbDhbH9Cz0tuDiY8C3ctxq1tqvaCgkFb8cCA/edit?usp=sharing"",""บุรีรัมย์!I426"")"),0)</f>
        <v>0</v>
      </c>
      <c r="J531" s="198">
        <f ca="1">IFERROR(__xludf.DUMMYFUNCTION("IMPORTRANGE(""https://docs.google.com/spreadsheets/d/1XL5vhW3sbDhbH9Cz0tuDiY8C3ctxq1tqvaCgkFb8cCA/edit?usp=sharing"",""บุรีรัมย์!J426"")"),0)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IFERROR(__xludf.DUMMYFUNCTION("IMPORTRANGE(""https://docs.google.com/spreadsheets/d/1XL5vhW3sbDhbH9Cz0tuDiY8C3ctxq1tqvaCgkFb8cCA/edit?usp=sharing"",""บุรีรัมย์!I427"")"),0)</f>
        <v>0</v>
      </c>
      <c r="J532" s="466">
        <f ca="1">IFERROR(__xludf.DUMMYFUNCTION("IMPORTRANGE(""https://docs.google.com/spreadsheets/d/1XL5vhW3sbDhbH9Cz0tuDiY8C3ctxq1tqvaCgkFb8cCA/edit?usp=sharing"",""บุรีรัมย์!J427"")"),0)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IFERROR(__xludf.DUMMYFUNCTION("IMPORTRANGE(""https://docs.google.com/spreadsheets/d/1XL5vhW3sbDhbH9Cz0tuDiY8C3ctxq1tqvaCgkFb8cCA/edit?usp=sharing"",""บุรีรัมย์!I428"")"),22)</f>
        <v>22</v>
      </c>
      <c r="J533" s="410">
        <f ca="1">IFERROR(__xludf.DUMMYFUNCTION("IMPORTRANGE(""https://docs.google.com/spreadsheets/d/1XL5vhW3sbDhbH9Cz0tuDiY8C3ctxq1tqvaCgkFb8cCA/edit?usp=sharing"",""บุรีรัมย์!J428"")"),22)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IFERROR(__xludf.DUMMYFUNCTION("IMPORTRANGE(""https://docs.google.com/spreadsheets/d/1XL5vhW3sbDhbH9Cz0tuDiY8C3ctxq1tqvaCgkFb8cCA/edit?usp=sharing"",""บุรีรัมย์!L428"")"),34340)</f>
        <v>34340</v>
      </c>
      <c r="M533" s="412"/>
      <c r="N533" s="412">
        <f ca="1">IFERROR(__xludf.DUMMYFUNCTION("IMPORTRANGE(""https://docs.google.com/spreadsheets/d/1XL5vhW3sbDhbH9Cz0tuDiY8C3ctxq1tqvaCgkFb8cCA/edit?usp=sharing"",""บุรีรัมย์!M428"")"),20300)</f>
        <v>20300</v>
      </c>
      <c r="O533" s="412">
        <f t="shared" ref="O533:O537" ca="1" si="118">+IF(L533&gt;0,N533*100/L533,0)</f>
        <v>59.114735002912056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IFERROR(__xludf.DUMMYFUNCTION("IMPORTRANGE(""https://docs.google.com/spreadsheets/d/1XL5vhW3sbDhbH9Cz0tuDiY8C3ctxq1tqvaCgkFb8cCA/edit?usp=sharing"",""บุรีรัมย์!L429"")"),0)</f>
        <v>0</v>
      </c>
      <c r="M534" s="164"/>
      <c r="N534" s="169">
        <f ca="1">IFERROR(__xludf.DUMMYFUNCTION("IMPORTRANGE(""https://docs.google.com/spreadsheets/d/1XL5vhW3sbDhbH9Cz0tuDiY8C3ctxq1tqvaCgkFb8cCA/edit?usp=sharing"",""บุรีรัมย์!M429"")"),0)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IFERROR(__xludf.DUMMYFUNCTION("IMPORTRANGE(""https://docs.google.com/spreadsheets/d/1XL5vhW3sbDhbH9Cz0tuDiY8C3ctxq1tqvaCgkFb8cCA/edit?usp=sharing"",""บุรีรัมย์!L430"")"),34340)</f>
        <v>34340</v>
      </c>
      <c r="M535" s="165"/>
      <c r="N535" s="169">
        <f ca="1">IFERROR(__xludf.DUMMYFUNCTION("IMPORTRANGE(""https://docs.google.com/spreadsheets/d/1XL5vhW3sbDhbH9Cz0tuDiY8C3ctxq1tqvaCgkFb8cCA/edit?usp=sharing"",""บุรีรัมย์!M430"")"),20300)</f>
        <v>20300</v>
      </c>
      <c r="O535" s="169">
        <f t="shared" ca="1" si="118"/>
        <v>59.114735002912056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IFERROR(__xludf.DUMMYFUNCTION("IMPORTRANGE(""https://docs.google.com/spreadsheets/d/1XL5vhW3sbDhbH9Cz0tuDiY8C3ctxq1tqvaCgkFb8cCA/edit?usp=sharing"",""บุรีรัมย์!L431"")"),0)</f>
        <v>0</v>
      </c>
      <c r="M536" s="169"/>
      <c r="N536" s="169">
        <f ca="1">IFERROR(__xludf.DUMMYFUNCTION("IMPORTRANGE(""https://docs.google.com/spreadsheets/d/1XL5vhW3sbDhbH9Cz0tuDiY8C3ctxq1tqvaCgkFb8cCA/edit?usp=sharing"",""บุรีรัมย์!M431"")"),0)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IFERROR(__xludf.DUMMYFUNCTION("IMPORTRANGE(""https://docs.google.com/spreadsheets/d/1XL5vhW3sbDhbH9Cz0tuDiY8C3ctxq1tqvaCgkFb8cCA/edit?usp=sharing"",""บุรีรัมย์!L432"")"),34340)</f>
        <v>34340</v>
      </c>
      <c r="M537" s="169"/>
      <c r="N537" s="169">
        <f ca="1">IFERROR(__xludf.DUMMYFUNCTION("IMPORTRANGE(""https://docs.google.com/spreadsheets/d/1XL5vhW3sbDhbH9Cz0tuDiY8C3ctxq1tqvaCgkFb8cCA/edit?usp=sharing"",""บุรีรัมย์!M432"")"),20300)</f>
        <v>20300</v>
      </c>
      <c r="O537" s="169">
        <f t="shared" ca="1" si="118"/>
        <v>59.114735002912056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IFERROR(__xludf.DUMMYFUNCTION("IMPORTRANGE(""https://docs.google.com/spreadsheets/d/1XL5vhW3sbDhbH9Cz0tuDiY8C3ctxq1tqvaCgkFb8cCA/edit?usp=sharing"",""บุรีรัมย์!M433"")"),13000)</f>
        <v>13000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IFERROR(__xludf.DUMMYFUNCTION("IMPORTRANGE(""https://docs.google.com/spreadsheets/d/1XL5vhW3sbDhbH9Cz0tuDiY8C3ctxq1tqvaCgkFb8cCA/edit?usp=sharing"",""บุรีรัมย์!M434"")"),0)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IFERROR(__xludf.DUMMYFUNCTION("IMPORTRANGE(""https://docs.google.com/spreadsheets/d/1XL5vhW3sbDhbH9Cz0tuDiY8C3ctxq1tqvaCgkFb8cCA/edit?usp=sharing"",""บุรีรัมย์!M435"")"),0)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IFERROR(__xludf.DUMMYFUNCTION("IMPORTRANGE(""https://docs.google.com/spreadsheets/d/1XL5vhW3sbDhbH9Cz0tuDiY8C3ctxq1tqvaCgkFb8cCA/edit?usp=sharing"",""บุรีรัมย์!M436"")"),7300)</f>
        <v>7300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IFERROR(__xludf.DUMMYFUNCTION("IMPORTRANGE(""https://docs.google.com/spreadsheets/d/1XL5vhW3sbDhbH9Cz0tuDiY8C3ctxq1tqvaCgkFb8cCA/edit?usp=sharing"",""บุรีรัมย์!J438"")"),0)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IFERROR(__xludf.DUMMYFUNCTION("IMPORTRANGE(""https://docs.google.com/spreadsheets/d/1XL5vhW3sbDhbH9Cz0tuDiY8C3ctxq1tqvaCgkFb8cCA/edit?usp=sharing"",""บุรีรัมย์!J439"")"),1)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IFERROR(__xludf.DUMMYFUNCTION("IMPORTRANGE(""https://docs.google.com/spreadsheets/d/1XL5vhW3sbDhbH9Cz0tuDiY8C3ctxq1tqvaCgkFb8cCA/edit?usp=sharing"",""บุรีรัมย์!J440"")"),1)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IFERROR(__xludf.DUMMYFUNCTION("IMPORTRANGE(""https://docs.google.com/spreadsheets/d/1XL5vhW3sbDhbH9Cz0tuDiY8C3ctxq1tqvaCgkFb8cCA/edit?usp=sharing"",""บุรีรัมย์!J441"")"),1)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IFERROR(__xludf.DUMMYFUNCTION("IMPORTRANGE(""https://docs.google.com/spreadsheets/d/1XL5vhW3sbDhbH9Cz0tuDiY8C3ctxq1tqvaCgkFb8cCA/edit?usp=sharing"",""บุรีรัมย์!I442"")"),22)</f>
        <v>22</v>
      </c>
      <c r="J547" s="189">
        <f ca="1">IFERROR(__xludf.DUMMYFUNCTION("IMPORTRANGE(""https://docs.google.com/spreadsheets/d/1XL5vhW3sbDhbH9Cz0tuDiY8C3ctxq1tqvaCgkFb8cCA/edit?usp=sharing"",""บุรีรัมย์!J442"")"),22)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IFERROR(__xludf.DUMMYFUNCTION("IMPORTRANGE(""https://docs.google.com/spreadsheets/d/1XL5vhW3sbDhbH9Cz0tuDiY8C3ctxq1tqvaCgkFb8cCA/edit?usp=sharing"",""บุรีรัมย์!J166"")"),0)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IFERROR(__xludf.DUMMYFUNCTION("IMPORTRANGE(""https://docs.google.com/spreadsheets/d/1XL5vhW3sbDhbH9Cz0tuDiY8C3ctxq1tqvaCgkFb8cCA/edit?usp=sharing"",""บุรีรัมย์!J444"")"),0)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IFERROR(__xludf.DUMMYFUNCTION("IMPORTRANGE(""https://docs.google.com/spreadsheets/d/1XL5vhW3sbDhbH9Cz0tuDiY8C3ctxq1tqvaCgkFb8cCA/edit?usp=sharing"",""บุรีรัมย์!J445"")"),0)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IFERROR(__xludf.DUMMYFUNCTION("IMPORTRANGE(""https://docs.google.com/spreadsheets/d/1XL5vhW3sbDhbH9Cz0tuDiY8C3ctxq1tqvaCgkFb8cCA/edit?usp=sharing"",""บุรีรัมย์!I446"")"),0)</f>
        <v>0</v>
      </c>
      <c r="J551" s="410">
        <f ca="1">IFERROR(__xludf.DUMMYFUNCTION("IMPORTRANGE(""https://docs.google.com/spreadsheets/d/1XL5vhW3sbDhbH9Cz0tuDiY8C3ctxq1tqvaCgkFb8cCA/edit?usp=sharing"",""บุรีรัมย์!J446"")"),0)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IFERROR(__xludf.DUMMYFUNCTION("IMPORTRANGE(""https://docs.google.com/spreadsheets/d/1XL5vhW3sbDhbH9Cz0tuDiY8C3ctxq1tqvaCgkFb8cCA/edit?usp=sharing"",""บุรีรัมย์!L446"")"),0)</f>
        <v>0</v>
      </c>
      <c r="M551" s="412"/>
      <c r="N551" s="412">
        <f ca="1">IFERROR(__xludf.DUMMYFUNCTION("IMPORTRANGE(""https://docs.google.com/spreadsheets/d/1XL5vhW3sbDhbH9Cz0tuDiY8C3ctxq1tqvaCgkFb8cCA/edit?usp=sharing"",""บุรีรัมย์!M446"")"),0)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IFERROR(__xludf.DUMMYFUNCTION("IMPORTRANGE(""https://docs.google.com/spreadsheets/d/1XL5vhW3sbDhbH9Cz0tuDiY8C3ctxq1tqvaCgkFb8cCA/edit?usp=sharing"",""บุรีรัมย์!L447"")"),0)</f>
        <v>0</v>
      </c>
      <c r="M552" s="164"/>
      <c r="N552" s="169">
        <f ca="1">IFERROR(__xludf.DUMMYFUNCTION("IMPORTRANGE(""https://docs.google.com/spreadsheets/d/1XL5vhW3sbDhbH9Cz0tuDiY8C3ctxq1tqvaCgkFb8cCA/edit?usp=sharing"",""บุรีรัมย์!M447"")"),0)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IFERROR(__xludf.DUMMYFUNCTION("IMPORTRANGE(""https://docs.google.com/spreadsheets/d/1XL5vhW3sbDhbH9Cz0tuDiY8C3ctxq1tqvaCgkFb8cCA/edit?usp=sharing"",""บุรีรัมย์!L448"")"),0)</f>
        <v>0</v>
      </c>
      <c r="M553" s="165"/>
      <c r="N553" s="169">
        <f ca="1">IFERROR(__xludf.DUMMYFUNCTION("IMPORTRANGE(""https://docs.google.com/spreadsheets/d/1XL5vhW3sbDhbH9Cz0tuDiY8C3ctxq1tqvaCgkFb8cCA/edit?usp=sharing"",""บุรีรัมย์!M448"")"),0)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IFERROR(__xludf.DUMMYFUNCTION("IMPORTRANGE(""https://docs.google.com/spreadsheets/d/1XL5vhW3sbDhbH9Cz0tuDiY8C3ctxq1tqvaCgkFb8cCA/edit?usp=sharing"",""บุรีรัมย์!L449"")"),0)</f>
        <v>0</v>
      </c>
      <c r="M554" s="169"/>
      <c r="N554" s="169">
        <f ca="1">IFERROR(__xludf.DUMMYFUNCTION("IMPORTRANGE(""https://docs.google.com/spreadsheets/d/1XL5vhW3sbDhbH9Cz0tuDiY8C3ctxq1tqvaCgkFb8cCA/edit?usp=sharing"",""บุรีรัมย์!M449"")"),0)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IFERROR(__xludf.DUMMYFUNCTION("IMPORTRANGE(""https://docs.google.com/spreadsheets/d/1XL5vhW3sbDhbH9Cz0tuDiY8C3ctxq1tqvaCgkFb8cCA/edit?usp=sharing"",""บุรีรัมย์!L450"")"),0)</f>
        <v>0</v>
      </c>
      <c r="M555" s="169"/>
      <c r="N555" s="169">
        <f ca="1">IFERROR(__xludf.DUMMYFUNCTION("IMPORTRANGE(""https://docs.google.com/spreadsheets/d/1XL5vhW3sbDhbH9Cz0tuDiY8C3ctxq1tqvaCgkFb8cCA/edit?usp=sharing"",""บุรีรัมย์!M450"")"),0)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IFERROR(__xludf.DUMMYFUNCTION("IMPORTRANGE(""https://docs.google.com/spreadsheets/d/1XL5vhW3sbDhbH9Cz0tuDiY8C3ctxq1tqvaCgkFb8cCA/edit?usp=sharing"",""บุรีรัมย์!M451"")"),0)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IFERROR(__xludf.DUMMYFUNCTION("IMPORTRANGE(""https://docs.google.com/spreadsheets/d/1XL5vhW3sbDhbH9Cz0tuDiY8C3ctxq1tqvaCgkFb8cCA/edit?usp=sharing"",""บุรีรัมย์!M452"")"),0)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IFERROR(__xludf.DUMMYFUNCTION("IMPORTRANGE(""https://docs.google.com/spreadsheets/d/1XL5vhW3sbDhbH9Cz0tuDiY8C3ctxq1tqvaCgkFb8cCA/edit?usp=sharing"",""บุรีรัมย์!M453"")"),0)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IFERROR(__xludf.DUMMYFUNCTION("IMPORTRANGE(""https://docs.google.com/spreadsheets/d/1XL5vhW3sbDhbH9Cz0tuDiY8C3ctxq1tqvaCgkFb8cCA/edit?usp=sharing"",""บุรีรัมย์!M454"")"),0)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IFERROR(__xludf.DUMMYFUNCTION("IMPORTRANGE(""https://docs.google.com/spreadsheets/d/1XL5vhW3sbDhbH9Cz0tuDiY8C3ctxq1tqvaCgkFb8cCA/edit?usp=sharing"",""บุรีรัมย์!I455"")"),0)</f>
        <v>0</v>
      </c>
      <c r="J560" s="162">
        <f ca="1">IFERROR(__xludf.DUMMYFUNCTION("IMPORTRANGE(""https://docs.google.com/spreadsheets/d/1XL5vhW3sbDhbH9Cz0tuDiY8C3ctxq1tqvaCgkFb8cCA/edit?usp=sharing"",""บุรีรัมย์!J455"")"),0)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IFERROR(__xludf.DUMMYFUNCTION("IMPORTRANGE(""https://docs.google.com/spreadsheets/d/1XL5vhW3sbDhbH9Cz0tuDiY8C3ctxq1tqvaCgkFb8cCA/edit?usp=sharing"",""บุรีรัมย์!I456"")"),0)</f>
        <v>0</v>
      </c>
      <c r="J561" s="204">
        <f ca="1">IFERROR(__xludf.DUMMYFUNCTION("IMPORTRANGE(""https://docs.google.com/spreadsheets/d/1XL5vhW3sbDhbH9Cz0tuDiY8C3ctxq1tqvaCgkFb8cCA/edit?usp=sharing"",""บุรีรัมย์!J456"")"),0)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IFERROR(__xludf.DUMMYFUNCTION("IMPORTRANGE(""https://docs.google.com/spreadsheets/d/1XL5vhW3sbDhbH9Cz0tuDiY8C3ctxq1tqvaCgkFb8cCA/edit?usp=sharing"",""บุรีรัมย์!I459"")"),4900)</f>
        <v>4900</v>
      </c>
      <c r="J564" s="371">
        <f ca="1">IFERROR(__xludf.DUMMYFUNCTION("IMPORTRANGE(""https://docs.google.com/spreadsheets/d/1XL5vhW3sbDhbH9Cz0tuDiY8C3ctxq1tqvaCgkFb8cCA/edit?usp=sharing"",""บุรีรัมย์!J459"")"),6624)</f>
        <v>6624</v>
      </c>
      <c r="K564" s="372">
        <f ca="1">IF(I564&gt;0,J564*100/I564,0)</f>
        <v>135.18367346938774</v>
      </c>
      <c r="L564" s="373">
        <f ca="1">IFERROR(__xludf.DUMMYFUNCTION("IMPORTRANGE(""https://docs.google.com/spreadsheets/d/1XL5vhW3sbDhbH9Cz0tuDiY8C3ctxq1tqvaCgkFb8cCA/edit?usp=sharing"",""บุรีรัมย์!L459"")"),166000)</f>
        <v>166000</v>
      </c>
      <c r="M564" s="373"/>
      <c r="N564" s="373">
        <f ca="1">IFERROR(__xludf.DUMMYFUNCTION("IMPORTRANGE(""https://docs.google.com/spreadsheets/d/1XL5vhW3sbDhbH9Cz0tuDiY8C3ctxq1tqvaCgkFb8cCA/edit?usp=sharing"",""บุรีรัมย์!M459"")"),68340.54)</f>
        <v>68340.539999999994</v>
      </c>
      <c r="O564" s="373">
        <f t="shared" ref="O564:O568" ca="1" si="122">+IF(L564&gt;0,N564*100/L564,0)</f>
        <v>41.168999999999997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IFERROR(__xludf.DUMMYFUNCTION("IMPORTRANGE(""https://docs.google.com/spreadsheets/d/1XL5vhW3sbDhbH9Cz0tuDiY8C3ctxq1tqvaCgkFb8cCA/edit?usp=sharing"",""บุรีรัมย์!L460"")"),0)</f>
        <v>0</v>
      </c>
      <c r="M565" s="164"/>
      <c r="N565" s="169">
        <f ca="1">IFERROR(__xludf.DUMMYFUNCTION("IMPORTRANGE(""https://docs.google.com/spreadsheets/d/1XL5vhW3sbDhbH9Cz0tuDiY8C3ctxq1tqvaCgkFb8cCA/edit?usp=sharing"",""บุรีรัมย์!M460"")"),0)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IFERROR(__xludf.DUMMYFUNCTION("IMPORTRANGE(""https://docs.google.com/spreadsheets/d/1XL5vhW3sbDhbH9Cz0tuDiY8C3ctxq1tqvaCgkFb8cCA/edit?usp=sharing"",""บุรีรัมย์!L461"")"),166000)</f>
        <v>166000</v>
      </c>
      <c r="M566" s="165"/>
      <c r="N566" s="169">
        <f ca="1">IFERROR(__xludf.DUMMYFUNCTION("IMPORTRANGE(""https://docs.google.com/spreadsheets/d/1XL5vhW3sbDhbH9Cz0tuDiY8C3ctxq1tqvaCgkFb8cCA/edit?usp=sharing"",""บุรีรัมย์!M461"")"),68340.54)</f>
        <v>68340.539999999994</v>
      </c>
      <c r="O566" s="169">
        <f t="shared" ca="1" si="122"/>
        <v>41.168999999999997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IFERROR(__xludf.DUMMYFUNCTION("IMPORTRANGE(""https://docs.google.com/spreadsheets/d/1XL5vhW3sbDhbH9Cz0tuDiY8C3ctxq1tqvaCgkFb8cCA/edit?usp=sharing"",""บุรีรัมย์!L462"")"),0)</f>
        <v>0</v>
      </c>
      <c r="M567" s="169"/>
      <c r="N567" s="169">
        <f ca="1">IFERROR(__xludf.DUMMYFUNCTION("IMPORTRANGE(""https://docs.google.com/spreadsheets/d/1XL5vhW3sbDhbH9Cz0tuDiY8C3ctxq1tqvaCgkFb8cCA/edit?usp=sharing"",""บุรีรัมย์!M462"")"),0)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IFERROR(__xludf.DUMMYFUNCTION("IMPORTRANGE(""https://docs.google.com/spreadsheets/d/1XL5vhW3sbDhbH9Cz0tuDiY8C3ctxq1tqvaCgkFb8cCA/edit?usp=sharing"",""บุรีรัมย์!L463"")"),166000)</f>
        <v>166000</v>
      </c>
      <c r="M568" s="169"/>
      <c r="N568" s="169">
        <f ca="1">IFERROR(__xludf.DUMMYFUNCTION("IMPORTRANGE(""https://docs.google.com/spreadsheets/d/1XL5vhW3sbDhbH9Cz0tuDiY8C3ctxq1tqvaCgkFb8cCA/edit?usp=sharing"",""บุรีรัมย์!M463"")"),68340.54)</f>
        <v>68340.539999999994</v>
      </c>
      <c r="O568" s="169">
        <f t="shared" ca="1" si="122"/>
        <v>41.168999999999997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IFERROR(__xludf.DUMMYFUNCTION("IMPORTRANGE(""https://docs.google.com/spreadsheets/d/1XL5vhW3sbDhbH9Cz0tuDiY8C3ctxq1tqvaCgkFb8cCA/edit?usp=sharing"",""บุรีรัมย์!M464"")"),0)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IFERROR(__xludf.DUMMYFUNCTION("IMPORTRANGE(""https://docs.google.com/spreadsheets/d/1XL5vhW3sbDhbH9Cz0tuDiY8C3ctxq1tqvaCgkFb8cCA/edit?usp=sharing"",""บุรีรัมย์!M465"")"),0)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IFERROR(__xludf.DUMMYFUNCTION("IMPORTRANGE(""https://docs.google.com/spreadsheets/d/1XL5vhW3sbDhbH9Cz0tuDiY8C3ctxq1tqvaCgkFb8cCA/edit?usp=sharing"",""บุรีรัมย์!M466"")"),63066.54)</f>
        <v>63066.54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IFERROR(__xludf.DUMMYFUNCTION("IMPORTRANGE(""https://docs.google.com/spreadsheets/d/1XL5vhW3sbDhbH9Cz0tuDiY8C3ctxq1tqvaCgkFb8cCA/edit?usp=sharing"",""บุรีรัมย์!M467"")"),5274)</f>
        <v>5274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IFERROR(__xludf.DUMMYFUNCTION("IMPORTRANGE(""https://docs.google.com/spreadsheets/d/1XL5vhW3sbDhbH9Cz0tuDiY8C3ctxq1tqvaCgkFb8cCA/edit?usp=sharing"",""บุรีรัมย์!I468"")"),4900)</f>
        <v>4900</v>
      </c>
      <c r="J573" s="420">
        <f ca="1">IFERROR(__xludf.DUMMYFUNCTION("IMPORTRANGE(""https://docs.google.com/spreadsheets/d/1XL5vhW3sbDhbH9Cz0tuDiY8C3ctxq1tqvaCgkFb8cCA/edit?usp=sharing"",""บุรีรัมย์!J468"")"),6624)</f>
        <v>6624</v>
      </c>
      <c r="K573" s="202">
        <f ca="1">IF(I573&gt;0,J573*100/I573,0)</f>
        <v>135.18367346938774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IFERROR(__xludf.DUMMYFUNCTION("IMPORTRANGE(""https://docs.google.com/spreadsheets/d/1XL5vhW3sbDhbH9Cz0tuDiY8C3ctxq1tqvaCgkFb8cCA/edit?usp=sharing"",""บุรีรัมย์!I470"")"),0)</f>
        <v>0</v>
      </c>
      <c r="J575" s="198">
        <f ca="1">IFERROR(__xludf.DUMMYFUNCTION("IMPORTRANGE(""https://docs.google.com/spreadsheets/d/1XL5vhW3sbDhbH9Cz0tuDiY8C3ctxq1tqvaCgkFb8cCA/edit?usp=sharing"",""บุรีรัมย์!J470"")"),2)</f>
        <v>2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IFERROR(__xludf.DUMMYFUNCTION("IMPORTRANGE(""https://docs.google.com/spreadsheets/d/1XL5vhW3sbDhbH9Cz0tuDiY8C3ctxq1tqvaCgkFb8cCA/edit?usp=sharing"",""บุรีรัมย์!I471"")"),0)</f>
        <v>0</v>
      </c>
      <c r="J576" s="198">
        <f ca="1">IFERROR(__xludf.DUMMYFUNCTION("IMPORTRANGE(""https://docs.google.com/spreadsheets/d/1XL5vhW3sbDhbH9Cz0tuDiY8C3ctxq1tqvaCgkFb8cCA/edit?usp=sharing"",""บุรีรัมย์!J471"")"),121)</f>
        <v>121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IFERROR(__xludf.DUMMYFUNCTION("IMPORTRANGE(""https://docs.google.com/spreadsheets/d/1XL5vhW3sbDhbH9Cz0tuDiY8C3ctxq1tqvaCgkFb8cCA/edit?usp=sharing"",""บุรีรัมย์!I472"")"),0)</f>
        <v>0</v>
      </c>
      <c r="J577" s="189">
        <f ca="1">IFERROR(__xludf.DUMMYFUNCTION("IMPORTRANGE(""https://docs.google.com/spreadsheets/d/1XL5vhW3sbDhbH9Cz0tuDiY8C3ctxq1tqvaCgkFb8cCA/edit?usp=sharing"",""บุรีรัมย์!J472"")"),6503)</f>
        <v>6503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IFERROR(__xludf.DUMMYFUNCTION("IMPORTRANGE(""https://docs.google.com/spreadsheets/d/1XL5vhW3sbDhbH9Cz0tuDiY8C3ctxq1tqvaCgkFb8cCA/edit?usp=sharing"",""บุรีรัมย์!I473"")"),0)</f>
        <v>0</v>
      </c>
      <c r="J578" s="198">
        <f ca="1">IFERROR(__xludf.DUMMYFUNCTION("IMPORTRANGE(""https://docs.google.com/spreadsheets/d/1XL5vhW3sbDhbH9Cz0tuDiY8C3ctxq1tqvaCgkFb8cCA/edit?usp=sharing"",""บุรีรัมย์!J473"")"),0)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IFERROR(__xludf.DUMMYFUNCTION("IMPORTRANGE(""https://docs.google.com/spreadsheets/d/1XL5vhW3sbDhbH9Cz0tuDiY8C3ctxq1tqvaCgkFb8cCA/edit?usp=sharing"",""บุรีรัมย์!I474"")"),0)</f>
        <v>0</v>
      </c>
      <c r="J579" s="198">
        <f ca="1">IFERROR(__xludf.DUMMYFUNCTION("IMPORTRANGE(""https://docs.google.com/spreadsheets/d/1XL5vhW3sbDhbH9Cz0tuDiY8C3ctxq1tqvaCgkFb8cCA/edit?usp=sharing"",""บุรีรัมย์!J474"")"),0)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IFERROR(__xludf.DUMMYFUNCTION("IMPORTRANGE(""https://docs.google.com/spreadsheets/d/1XL5vhW3sbDhbH9Cz0tuDiY8C3ctxq1tqvaCgkFb8cCA/edit?usp=sharing"",""บุรีรัมย์!I475"")"),40)</f>
        <v>40</v>
      </c>
      <c r="J580" s="371">
        <f ca="1">IFERROR(__xludf.DUMMYFUNCTION("IMPORTRANGE(""https://docs.google.com/spreadsheets/d/1XL5vhW3sbDhbH9Cz0tuDiY8C3ctxq1tqvaCgkFb8cCA/edit?usp=sharing"",""บุรีรัมย์!J475"")"),0)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IFERROR(__xludf.DUMMYFUNCTION("IMPORTRANGE(""https://docs.google.com/spreadsheets/d/1XL5vhW3sbDhbH9Cz0tuDiY8C3ctxq1tqvaCgkFb8cCA/edit?usp=sharing"",""บุรีรัมย์!L475"")"),172040)</f>
        <v>172040</v>
      </c>
      <c r="M580" s="373"/>
      <c r="N580" s="373">
        <f ca="1">IFERROR(__xludf.DUMMYFUNCTION("IMPORTRANGE(""https://docs.google.com/spreadsheets/d/1XL5vhW3sbDhbH9Cz0tuDiY8C3ctxq1tqvaCgkFb8cCA/edit?usp=sharing"",""บุรีรัมย์!M475"")"),15360)</f>
        <v>15360</v>
      </c>
      <c r="O580" s="373">
        <f t="shared" ref="O580:O584" ca="1" si="124">+IF(L580&gt;0,N580*100/L580,0)</f>
        <v>8.9281562427342482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IFERROR(__xludf.DUMMYFUNCTION("IMPORTRANGE(""https://docs.google.com/spreadsheets/d/1XL5vhW3sbDhbH9Cz0tuDiY8C3ctxq1tqvaCgkFb8cCA/edit?usp=sharing"",""บุรีรัมย์!L476"")"),0)</f>
        <v>0</v>
      </c>
      <c r="M581" s="164"/>
      <c r="N581" s="169">
        <f ca="1">IFERROR(__xludf.DUMMYFUNCTION("IMPORTRANGE(""https://docs.google.com/spreadsheets/d/1XL5vhW3sbDhbH9Cz0tuDiY8C3ctxq1tqvaCgkFb8cCA/edit?usp=sharing"",""บุรีรัมย์!M476"")"),0)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IFERROR(__xludf.DUMMYFUNCTION("IMPORTRANGE(""https://docs.google.com/spreadsheets/d/1XL5vhW3sbDhbH9Cz0tuDiY8C3ctxq1tqvaCgkFb8cCA/edit?usp=sharing"",""บุรีรัมย์!L477"")"),172040)</f>
        <v>172040</v>
      </c>
      <c r="M582" s="165"/>
      <c r="N582" s="169">
        <f ca="1">IFERROR(__xludf.DUMMYFUNCTION("IMPORTRANGE(""https://docs.google.com/spreadsheets/d/1XL5vhW3sbDhbH9Cz0tuDiY8C3ctxq1tqvaCgkFb8cCA/edit?usp=sharing"",""บุรีรัมย์!M477"")"),15360)</f>
        <v>15360</v>
      </c>
      <c r="O582" s="169">
        <f t="shared" ca="1" si="124"/>
        <v>8.9281562427342482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IFERROR(__xludf.DUMMYFUNCTION("IMPORTRANGE(""https://docs.google.com/spreadsheets/d/1XL5vhW3sbDhbH9Cz0tuDiY8C3ctxq1tqvaCgkFb8cCA/edit?usp=sharing"",""บุรีรัมย์!L478"")"),0)</f>
        <v>0</v>
      </c>
      <c r="M583" s="169"/>
      <c r="N583" s="169">
        <f ca="1">IFERROR(__xludf.DUMMYFUNCTION("IMPORTRANGE(""https://docs.google.com/spreadsheets/d/1XL5vhW3sbDhbH9Cz0tuDiY8C3ctxq1tqvaCgkFb8cCA/edit?usp=sharing"",""บุรีรัมย์!M478"")"),0)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IFERROR(__xludf.DUMMYFUNCTION("IMPORTRANGE(""https://docs.google.com/spreadsheets/d/1XL5vhW3sbDhbH9Cz0tuDiY8C3ctxq1tqvaCgkFb8cCA/edit?usp=sharing"",""บุรีรัมย์!L479"")"),172040)</f>
        <v>172040</v>
      </c>
      <c r="M584" s="169"/>
      <c r="N584" s="169">
        <f ca="1">IFERROR(__xludf.DUMMYFUNCTION("IMPORTRANGE(""https://docs.google.com/spreadsheets/d/1XL5vhW3sbDhbH9Cz0tuDiY8C3ctxq1tqvaCgkFb8cCA/edit?usp=sharing"",""บุรีรัมย์!M479"")"),15360)</f>
        <v>15360</v>
      </c>
      <c r="O584" s="169">
        <f t="shared" ca="1" si="124"/>
        <v>8.9281562427342482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IFERROR(__xludf.DUMMYFUNCTION("IMPORTRANGE(""https://docs.google.com/spreadsheets/d/1XL5vhW3sbDhbH9Cz0tuDiY8C3ctxq1tqvaCgkFb8cCA/edit?usp=sharing"",""บุรีรัมย์!M480"")"),0)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IFERROR(__xludf.DUMMYFUNCTION("IMPORTRANGE(""https://docs.google.com/spreadsheets/d/1XL5vhW3sbDhbH9Cz0tuDiY8C3ctxq1tqvaCgkFb8cCA/edit?usp=sharing"",""บุรีรัมย์!M481"")"),0)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IFERROR(__xludf.DUMMYFUNCTION("IMPORTRANGE(""https://docs.google.com/spreadsheets/d/1XL5vhW3sbDhbH9Cz0tuDiY8C3ctxq1tqvaCgkFb8cCA/edit?usp=sharing"",""บุรีรัมย์!M482"")"),0)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IFERROR(__xludf.DUMMYFUNCTION("IMPORTRANGE(""https://docs.google.com/spreadsheets/d/1XL5vhW3sbDhbH9Cz0tuDiY8C3ctxq1tqvaCgkFb8cCA/edit?usp=sharing"",""บุรีรัมย์!M483"")"),15360)</f>
        <v>15360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IFERROR(__xludf.DUMMYFUNCTION("IMPORTRANGE(""https://docs.google.com/spreadsheets/d/1XL5vhW3sbDhbH9Cz0tuDiY8C3ctxq1tqvaCgkFb8cCA/edit?usp=sharing"",""บุรีรัมย์!I484"")"),40)</f>
        <v>40</v>
      </c>
      <c r="J589" s="188">
        <f ca="1">IFERROR(__xludf.DUMMYFUNCTION("IMPORTRANGE(""https://docs.google.com/spreadsheets/d/1XL5vhW3sbDhbH9Cz0tuDiY8C3ctxq1tqvaCgkFb8cCA/edit?usp=sharing"",""บุรีรัมย์!J484"")"),42)</f>
        <v>42</v>
      </c>
      <c r="K589" s="163">
        <f t="shared" ref="K589:K596" ca="1" si="125">IF(I589&gt;0,J589*100/I589,0)</f>
        <v>105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IFERROR(__xludf.DUMMYFUNCTION("IMPORTRANGE(""https://docs.google.com/spreadsheets/d/1XL5vhW3sbDhbH9Cz0tuDiY8C3ctxq1tqvaCgkFb8cCA/edit?usp=sharing"",""บุรีรัมย์!I485"")"),0)</f>
        <v>0</v>
      </c>
      <c r="J590" s="188">
        <f ca="1">IFERROR(__xludf.DUMMYFUNCTION("IMPORTRANGE(""https://docs.google.com/spreadsheets/d/1XL5vhW3sbDhbH9Cz0tuDiY8C3ctxq1tqvaCgkFb8cCA/edit?usp=sharing"",""บุรีรัมย์!J485"")"),15.37)</f>
        <v>15.37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IFERROR(__xludf.DUMMYFUNCTION("IMPORTRANGE(""https://docs.google.com/spreadsheets/d/1XL5vhW3sbDhbH9Cz0tuDiY8C3ctxq1tqvaCgkFb8cCA/edit?usp=sharing"",""บุรีรัมย์!I486"")"),40)</f>
        <v>40</v>
      </c>
      <c r="J591" s="188">
        <f ca="1">IFERROR(__xludf.DUMMYFUNCTION("IMPORTRANGE(""https://docs.google.com/spreadsheets/d/1XL5vhW3sbDhbH9Cz0tuDiY8C3ctxq1tqvaCgkFb8cCA/edit?usp=sharing"",""บุรีรัมย์!J486"")"),0)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IFERROR(__xludf.DUMMYFUNCTION("IMPORTRANGE(""https://docs.google.com/spreadsheets/d/1XL5vhW3sbDhbH9Cz0tuDiY8C3ctxq1tqvaCgkFb8cCA/edit?usp=sharing"",""บุรีรัมย์!I487"")"),0)</f>
        <v>0</v>
      </c>
      <c r="J592" s="188">
        <f ca="1">IFERROR(__xludf.DUMMYFUNCTION("IMPORTRANGE(""https://docs.google.com/spreadsheets/d/1XL5vhW3sbDhbH9Cz0tuDiY8C3ctxq1tqvaCgkFb8cCA/edit?usp=sharing"",""บุรีรัมย์!J487"")"),0)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IFERROR(__xludf.DUMMYFUNCTION("IMPORTRANGE(""https://docs.google.com/spreadsheets/d/1XL5vhW3sbDhbH9Cz0tuDiY8C3ctxq1tqvaCgkFb8cCA/edit?usp=sharing"",""บุรีรัมย์!I488"")"),40)</f>
        <v>40</v>
      </c>
      <c r="J593" s="188">
        <f ca="1">IFERROR(__xludf.DUMMYFUNCTION("IMPORTRANGE(""https://docs.google.com/spreadsheets/d/1XL5vhW3sbDhbH9Cz0tuDiY8C3ctxq1tqvaCgkFb8cCA/edit?usp=sharing"",""บุรีรัมย์!J488"")"),0)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IFERROR(__xludf.DUMMYFUNCTION("IMPORTRANGE(""https://docs.google.com/spreadsheets/d/1XL5vhW3sbDhbH9Cz0tuDiY8C3ctxq1tqvaCgkFb8cCA/edit?usp=sharing"",""บุรีรัมย์!I489"")"),0)</f>
        <v>0</v>
      </c>
      <c r="J594" s="188">
        <f ca="1">IFERROR(__xludf.DUMMYFUNCTION("IMPORTRANGE(""https://docs.google.com/spreadsheets/d/1XL5vhW3sbDhbH9Cz0tuDiY8C3ctxq1tqvaCgkFb8cCA/edit?usp=sharing"",""บุรีรัมย์!J489"")"),0)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IFERROR(__xludf.DUMMYFUNCTION("IMPORTRANGE(""https://docs.google.com/spreadsheets/d/1XL5vhW3sbDhbH9Cz0tuDiY8C3ctxq1tqvaCgkFb8cCA/edit?usp=sharing"",""บุรีรัมย์!I490"")"),40)</f>
        <v>40</v>
      </c>
      <c r="J595" s="188">
        <f ca="1">IFERROR(__xludf.DUMMYFUNCTION("IMPORTRANGE(""https://docs.google.com/spreadsheets/d/1XL5vhW3sbDhbH9Cz0tuDiY8C3ctxq1tqvaCgkFb8cCA/edit?usp=sharing"",""บุรีรัมย์!J490"")"),0)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IFERROR(__xludf.DUMMYFUNCTION("IMPORTRANGE(""https://docs.google.com/spreadsheets/d/1XL5vhW3sbDhbH9Cz0tuDiY8C3ctxq1tqvaCgkFb8cCA/edit?usp=sharing"",""บุรีรัมย์!I491"")"),0)</f>
        <v>0</v>
      </c>
      <c r="J596" s="241">
        <f ca="1">IFERROR(__xludf.DUMMYFUNCTION("IMPORTRANGE(""https://docs.google.com/spreadsheets/d/1XL5vhW3sbDhbH9Cz0tuDiY8C3ctxq1tqvaCgkFb8cCA/edit?usp=sharing"",""บุรีรัมย์!J491"")"),0)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IFERROR(__xludf.DUMMYFUNCTION("IMPORTRANGE(""https://docs.google.com/spreadsheets/d/1XL5vhW3sbDhbH9Cz0tuDiY8C3ctxq1tqvaCgkFb8cCA/edit?usp=sharing"",""บุรีรัมย์!I492"")"),100)</f>
        <v>100</v>
      </c>
      <c r="J597" s="487">
        <f ca="1">IFERROR(__xludf.DUMMYFUNCTION("IMPORTRANGE(""https://docs.google.com/spreadsheets/d/1XL5vhW3sbDhbH9Cz0tuDiY8C3ctxq1tqvaCgkFb8cCA/edit?usp=sharing"",""บุรีรัมย์!J492"")"),0)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IFERROR(__xludf.DUMMYFUNCTION("IMPORTRANGE(""https://docs.google.com/spreadsheets/d/1XL5vhW3sbDhbH9Cz0tuDiY8C3ctxq1tqvaCgkFb8cCA/edit?usp=sharing"",""บุรีรัมย์!L492"")"),7300)</f>
        <v>7300</v>
      </c>
      <c r="M597" s="412"/>
      <c r="N597" s="412">
        <f ca="1">IFERROR(__xludf.DUMMYFUNCTION("IMPORTRANGE(""https://docs.google.com/spreadsheets/d/1XL5vhW3sbDhbH9Cz0tuDiY8C3ctxq1tqvaCgkFb8cCA/edit?usp=sharing"",""บุรีรัมย์!M492"")"),1800)</f>
        <v>1800</v>
      </c>
      <c r="O597" s="412">
        <f t="shared" ref="O597:O601" ca="1" si="126">+IF(L597&gt;0,N597*100/L597,0)</f>
        <v>24.657534246575342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IFERROR(__xludf.DUMMYFUNCTION("IMPORTRANGE(""https://docs.google.com/spreadsheets/d/1XL5vhW3sbDhbH9Cz0tuDiY8C3ctxq1tqvaCgkFb8cCA/edit?usp=sharing"",""บุรีรัมย์!L493"")"),0)</f>
        <v>0</v>
      </c>
      <c r="M598" s="164"/>
      <c r="N598" s="169">
        <f ca="1">IFERROR(__xludf.DUMMYFUNCTION("IMPORTRANGE(""https://docs.google.com/spreadsheets/d/1XL5vhW3sbDhbH9Cz0tuDiY8C3ctxq1tqvaCgkFb8cCA/edit?usp=sharing"",""บุรีรัมย์!M493"")"),0)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IFERROR(__xludf.DUMMYFUNCTION("IMPORTRANGE(""https://docs.google.com/spreadsheets/d/1XL5vhW3sbDhbH9Cz0tuDiY8C3ctxq1tqvaCgkFb8cCA/edit?usp=sharing"",""บุรีรัมย์!L494"")"),7300)</f>
        <v>7300</v>
      </c>
      <c r="M599" s="165"/>
      <c r="N599" s="169">
        <f ca="1">IFERROR(__xludf.DUMMYFUNCTION("IMPORTRANGE(""https://docs.google.com/spreadsheets/d/1XL5vhW3sbDhbH9Cz0tuDiY8C3ctxq1tqvaCgkFb8cCA/edit?usp=sharing"",""บุรีรัมย์!M494"")"),1800)</f>
        <v>1800</v>
      </c>
      <c r="O599" s="169">
        <f t="shared" ca="1" si="126"/>
        <v>24.657534246575342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IFERROR(__xludf.DUMMYFUNCTION("IMPORTRANGE(""https://docs.google.com/spreadsheets/d/1XL5vhW3sbDhbH9Cz0tuDiY8C3ctxq1tqvaCgkFb8cCA/edit?usp=sharing"",""บุรีรัมย์!L495"")"),0)</f>
        <v>0</v>
      </c>
      <c r="M600" s="169"/>
      <c r="N600" s="169">
        <f ca="1">IFERROR(__xludf.DUMMYFUNCTION("IMPORTRANGE(""https://docs.google.com/spreadsheets/d/1XL5vhW3sbDhbH9Cz0tuDiY8C3ctxq1tqvaCgkFb8cCA/edit?usp=sharing"",""บุรีรัมย์!M495"")"),0)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IFERROR(__xludf.DUMMYFUNCTION("IMPORTRANGE(""https://docs.google.com/spreadsheets/d/1XL5vhW3sbDhbH9Cz0tuDiY8C3ctxq1tqvaCgkFb8cCA/edit?usp=sharing"",""บุรีรัมย์!L496"")"),7300)</f>
        <v>7300</v>
      </c>
      <c r="M601" s="169"/>
      <c r="N601" s="169">
        <f ca="1">IFERROR(__xludf.DUMMYFUNCTION("IMPORTRANGE(""https://docs.google.com/spreadsheets/d/1XL5vhW3sbDhbH9Cz0tuDiY8C3ctxq1tqvaCgkFb8cCA/edit?usp=sharing"",""บุรีรัมย์!M496"")"),1800)</f>
        <v>1800</v>
      </c>
      <c r="O601" s="169">
        <f t="shared" ca="1" si="126"/>
        <v>24.657534246575342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IFERROR(__xludf.DUMMYFUNCTION("IMPORTRANGE(""https://docs.google.com/spreadsheets/d/1XL5vhW3sbDhbH9Cz0tuDiY8C3ctxq1tqvaCgkFb8cCA/edit?usp=sharing"",""บุรีรัมย์!M497"")"),0)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IFERROR(__xludf.DUMMYFUNCTION("IMPORTRANGE(""https://docs.google.com/spreadsheets/d/1XL5vhW3sbDhbH9Cz0tuDiY8C3ctxq1tqvaCgkFb8cCA/edit?usp=sharing"",""บุรีรัมย์!M498"")"),0)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IFERROR(__xludf.DUMMYFUNCTION("IMPORTRANGE(""https://docs.google.com/spreadsheets/d/1XL5vhW3sbDhbH9Cz0tuDiY8C3ctxq1tqvaCgkFb8cCA/edit?usp=sharing"",""บุรีรัมย์!M499"")"),0)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IFERROR(__xludf.DUMMYFUNCTION("IMPORTRANGE(""https://docs.google.com/spreadsheets/d/1XL5vhW3sbDhbH9Cz0tuDiY8C3ctxq1tqvaCgkFb8cCA/edit?usp=sharing"",""บุรีรัมย์!M500"")"),1800)</f>
        <v>1800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IFERROR(__xludf.DUMMYFUNCTION("IMPORTRANGE(""https://docs.google.com/spreadsheets/d/1XL5vhW3sbDhbH9Cz0tuDiY8C3ctxq1tqvaCgkFb8cCA/edit?usp=sharing"",""บุรีรัมย์!J502"")"),0)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IFERROR(__xludf.DUMMYFUNCTION("IMPORTRANGE(""https://docs.google.com/spreadsheets/d/1XL5vhW3sbDhbH9Cz0tuDiY8C3ctxq1tqvaCgkFb8cCA/edit?usp=sharing"",""บุรีรัมย์!J503"")"),1)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539"/>
      <c r="B609" s="540"/>
      <c r="C609" s="540"/>
      <c r="D609" s="541"/>
      <c r="E609" s="542" t="s">
        <v>46</v>
      </c>
      <c r="F609" s="543"/>
      <c r="G609" s="544"/>
      <c r="H609" s="545"/>
      <c r="I609" s="546"/>
      <c r="J609" s="546">
        <f ca="1">IFERROR(__xludf.DUMMYFUNCTION("IMPORTRANGE(""https://docs.google.com/spreadsheets/d/1XL5vhW3sbDhbH9Cz0tuDiY8C3ctxq1tqvaCgkFb8cCA/edit?usp=sharing"",""บุรีรัมย์!J166"")"),0)</f>
        <v>0</v>
      </c>
      <c r="K609" s="547"/>
      <c r="L609" s="548"/>
      <c r="M609" s="548"/>
      <c r="N609" s="548"/>
      <c r="O609" s="548"/>
      <c r="P609" s="548"/>
    </row>
    <row r="610" spans="1:16" ht="21.75" hidden="1" customHeight="1" x14ac:dyDescent="0.35">
      <c r="A610" s="539"/>
      <c r="B610" s="540"/>
      <c r="C610" s="540"/>
      <c r="D610" s="541"/>
      <c r="E610" s="542" t="s">
        <v>47</v>
      </c>
      <c r="F610" s="543"/>
      <c r="G610" s="544"/>
      <c r="H610" s="545"/>
      <c r="I610" s="546"/>
      <c r="J610" s="546">
        <f ca="1">IFERROR(__xludf.DUMMYFUNCTION("IMPORTRANGE(""https://docs.google.com/spreadsheets/d/1XL5vhW3sbDhbH9Cz0tuDiY8C3ctxq1tqvaCgkFb8cCA/edit?usp=sharing"",""บุรีรัมย์!J166"")"),0)</f>
        <v>0</v>
      </c>
      <c r="K610" s="547"/>
      <c r="L610" s="548"/>
      <c r="M610" s="548"/>
      <c r="N610" s="548"/>
      <c r="O610" s="548"/>
      <c r="P610" s="548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IFERROR(__xludf.DUMMYFUNCTION("IMPORTRANGE(""https://docs.google.com/spreadsheets/d/1XL5vhW3sbDhbH9Cz0tuDiY8C3ctxq1tqvaCgkFb8cCA/edit?usp=sharing"",""บุรีรัมย์!I506"")"),100)</f>
        <v>100</v>
      </c>
      <c r="J611" s="162">
        <f ca="1">IFERROR(__xludf.DUMMYFUNCTION("IMPORTRANGE(""https://docs.google.com/spreadsheets/d/1XL5vhW3sbDhbH9Cz0tuDiY8C3ctxq1tqvaCgkFb8cCA/edit?usp=sharing"",""บุรีรัมย์!J506"")"),0)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IFERROR(__xludf.DUMMYFUNCTION("IMPORTRANGE(""https://docs.google.com/spreadsheets/d/1XL5vhW3sbDhbH9Cz0tuDiY8C3ctxq1tqvaCgkFb8cCA/edit?usp=sharing"",""บุรีรัมย์!I507"")"),0)</f>
        <v>0</v>
      </c>
      <c r="J612" s="198">
        <f ca="1">IFERROR(__xludf.DUMMYFUNCTION("IMPORTRANGE(""https://docs.google.com/spreadsheets/d/1XL5vhW3sbDhbH9Cz0tuDiY8C3ctxq1tqvaCgkFb8cCA/edit?usp=sharing"",""บุรีรัมย์!J507"")"),57)</f>
        <v>57</v>
      </c>
      <c r="K612" s="163">
        <f t="shared" ca="1" si="127"/>
        <v>57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IFERROR(__xludf.DUMMYFUNCTION("IMPORTRANGE(""https://docs.google.com/spreadsheets/d/1XL5vhW3sbDhbH9Cz0tuDiY8C3ctxq1tqvaCgkFb8cCA/edit?usp=sharing"",""บุรีรัมย์!I508"")"),0)</f>
        <v>0</v>
      </c>
      <c r="J613" s="198">
        <f ca="1">IFERROR(__xludf.DUMMYFUNCTION("IMPORTRANGE(""https://docs.google.com/spreadsheets/d/1XL5vhW3sbDhbH9Cz0tuDiY8C3ctxq1tqvaCgkFb8cCA/edit?usp=sharing"",""บุรีรัมย์!J508"")"),57)</f>
        <v>57</v>
      </c>
      <c r="K613" s="163">
        <f t="shared" ca="1" si="127"/>
        <v>57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IFERROR(__xludf.DUMMYFUNCTION("IMPORTRANGE(""https://docs.google.com/spreadsheets/d/1XL5vhW3sbDhbH9Cz0tuDiY8C3ctxq1tqvaCgkFb8cCA/edit?usp=sharing"",""บุรีรัมย์!I509"")"),0)</f>
        <v>0</v>
      </c>
      <c r="J614" s="198">
        <f ca="1">IFERROR(__xludf.DUMMYFUNCTION("IMPORTRANGE(""https://docs.google.com/spreadsheets/d/1XL5vhW3sbDhbH9Cz0tuDiY8C3ctxq1tqvaCgkFb8cCA/edit?usp=sharing"",""บุรีรัมย์!J509"")"),57)</f>
        <v>57</v>
      </c>
      <c r="K614" s="163">
        <f t="shared" ca="1" si="127"/>
        <v>57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IFERROR(__xludf.DUMMYFUNCTION("IMPORTRANGE(""https://docs.google.com/spreadsheets/d/1XL5vhW3sbDhbH9Cz0tuDiY8C3ctxq1tqvaCgkFb8cCA/edit?usp=sharing"",""บุรีรัมย์!I510"")"),0)</f>
        <v>0</v>
      </c>
      <c r="J615" s="198">
        <f ca="1">IFERROR(__xludf.DUMMYFUNCTION("IMPORTRANGE(""https://docs.google.com/spreadsheets/d/1XL5vhW3sbDhbH9Cz0tuDiY8C3ctxq1tqvaCgkFb8cCA/edit?usp=sharing"",""บุรีรัมย์!J510"")"),57)</f>
        <v>57</v>
      </c>
      <c r="K615" s="163">
        <f t="shared" ca="1" si="127"/>
        <v>57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IFERROR(__xludf.DUMMYFUNCTION("IMPORTRANGE(""https://docs.google.com/spreadsheets/d/1XL5vhW3sbDhbH9Cz0tuDiY8C3ctxq1tqvaCgkFb8cCA/edit?usp=sharing"",""บุรีรัมย์!I511"")"),0)</f>
        <v>0</v>
      </c>
      <c r="J616" s="198">
        <f ca="1">IFERROR(__xludf.DUMMYFUNCTION("IMPORTRANGE(""https://docs.google.com/spreadsheets/d/1XL5vhW3sbDhbH9Cz0tuDiY8C3ctxq1tqvaCgkFb8cCA/edit?usp=sharing"",""บุรีรัมย์!J511"")"),0)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IFERROR(__xludf.DUMMYFUNCTION("IMPORTRANGE(""https://docs.google.com/spreadsheets/d/1XL5vhW3sbDhbH9Cz0tuDiY8C3ctxq1tqvaCgkFb8cCA/edit?usp=sharing"",""บุรีรัมย์!I512"")"),0)</f>
        <v>0</v>
      </c>
      <c r="J617" s="188">
        <f ca="1">IFERROR(__xludf.DUMMYFUNCTION("IMPORTRANGE(""https://docs.google.com/spreadsheets/d/1XL5vhW3sbDhbH9Cz0tuDiY8C3ctxq1tqvaCgkFb8cCA/edit?usp=sharing"",""บุรีรัมย์!J512"")"),0)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IFERROR(__xludf.DUMMYFUNCTION("IMPORTRANGE(""https://docs.google.com/spreadsheets/d/1XL5vhW3sbDhbH9Cz0tuDiY8C3ctxq1tqvaCgkFb8cCA/edit?usp=sharing"",""บุรีรัมย์!I513"")"),0)</f>
        <v>0</v>
      </c>
      <c r="J618" s="189">
        <f ca="1">IFERROR(__xludf.DUMMYFUNCTION("IMPORTRANGE(""https://docs.google.com/spreadsheets/d/1XL5vhW3sbDhbH9Cz0tuDiY8C3ctxq1tqvaCgkFb8cCA/edit?usp=sharing"",""บุรีรัมย์!J513"")"),0)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IFERROR(__xludf.DUMMYFUNCTION("IMPORTRANGE(""https://docs.google.com/spreadsheets/d/1XL5vhW3sbDhbH9Cz0tuDiY8C3ctxq1tqvaCgkFb8cCA/edit?usp=sharing"",""บุรีรัมย์!I514"")"),0)</f>
        <v>0</v>
      </c>
      <c r="J619" s="189">
        <f ca="1">IFERROR(__xludf.DUMMYFUNCTION("IMPORTRANGE(""https://docs.google.com/spreadsheets/d/1XL5vhW3sbDhbH9Cz0tuDiY8C3ctxq1tqvaCgkFb8cCA/edit?usp=sharing"",""บุรีรัมย์!J514"")"),0)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IFERROR(__xludf.DUMMYFUNCTION("IMPORTRANGE(""https://docs.google.com/spreadsheets/d/1XL5vhW3sbDhbH9Cz0tuDiY8C3ctxq1tqvaCgkFb8cCA/edit?usp=sharing"",""บุรีรัมย์!I515"")"),0)</f>
        <v>0</v>
      </c>
      <c r="J620" s="203">
        <f ca="1">IFERROR(__xludf.DUMMYFUNCTION("IMPORTRANGE(""https://docs.google.com/spreadsheets/d/1XL5vhW3sbDhbH9Cz0tuDiY8C3ctxq1tqvaCgkFb8cCA/edit?usp=sharing"",""บุรีรัมย์!J515"")"),0)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IFERROR(__xludf.DUMMYFUNCTION("IMPORTRANGE(""https://docs.google.com/spreadsheets/d/1XL5vhW3sbDhbH9Cz0tuDiY8C3ctxq1tqvaCgkFb8cCA/edit?usp=sharing"",""บุรีรัมย์!I516"")"),0)</f>
        <v>0</v>
      </c>
      <c r="J621" s="203">
        <f ca="1">IFERROR(__xludf.DUMMYFUNCTION("IMPORTRANGE(""https://docs.google.com/spreadsheets/d/1XL5vhW3sbDhbH9Cz0tuDiY8C3ctxq1tqvaCgkFb8cCA/edit?usp=sharing"",""บุรีรัมย์!J516"")"),0)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IFERROR(__xludf.DUMMYFUNCTION("IMPORTRANGE(""https://docs.google.com/spreadsheets/d/1XL5vhW3sbDhbH9Cz0tuDiY8C3ctxq1tqvaCgkFb8cCA/edit?usp=sharing"",""บุรีรัมย์!I517"")"),0)</f>
        <v>0</v>
      </c>
      <c r="J622" s="189">
        <f ca="1">IFERROR(__xludf.DUMMYFUNCTION("IMPORTRANGE(""https://docs.google.com/spreadsheets/d/1XL5vhW3sbDhbH9Cz0tuDiY8C3ctxq1tqvaCgkFb8cCA/edit?usp=sharing"",""บุรีรัมย์!J517"")"),0)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IFERROR(__xludf.DUMMYFUNCTION("IMPORTRANGE(""https://docs.google.com/spreadsheets/d/1XL5vhW3sbDhbH9Cz0tuDiY8C3ctxq1tqvaCgkFb8cCA/edit?usp=sharing"",""บุรีรัมย์!I518"")"),0)</f>
        <v>0</v>
      </c>
      <c r="J623" s="189">
        <f ca="1">IFERROR(__xludf.DUMMYFUNCTION("IMPORTRANGE(""https://docs.google.com/spreadsheets/d/1XL5vhW3sbDhbH9Cz0tuDiY8C3ctxq1tqvaCgkFb8cCA/edit?usp=sharing"",""บุรีรัมย์!J518"")"),0)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IFERROR(__xludf.DUMMYFUNCTION("IMPORTRANGE(""https://docs.google.com/spreadsheets/d/1XL5vhW3sbDhbH9Cz0tuDiY8C3ctxq1tqvaCgkFb8cCA/edit?usp=sharing"",""บุรีรัมย์!I519"")"),0)</f>
        <v>0</v>
      </c>
      <c r="J624" s="188">
        <f ca="1">IFERROR(__xludf.DUMMYFUNCTION("IMPORTRANGE(""https://docs.google.com/spreadsheets/d/1XL5vhW3sbDhbH9Cz0tuDiY8C3ctxq1tqvaCgkFb8cCA/edit?usp=sharing"",""บุรีรัมย์!J519"")"),0)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IFERROR(__xludf.DUMMYFUNCTION("IMPORTRANGE(""https://docs.google.com/spreadsheets/d/1XL5vhW3sbDhbH9Cz0tuDiY8C3ctxq1tqvaCgkFb8cCA/edit?usp=sharing"",""บุรีรัมย์!I520"")"),0)</f>
        <v>0</v>
      </c>
      <c r="J625" s="189">
        <f ca="1">IFERROR(__xludf.DUMMYFUNCTION("IMPORTRANGE(""https://docs.google.com/spreadsheets/d/1XL5vhW3sbDhbH9Cz0tuDiY8C3ctxq1tqvaCgkFb8cCA/edit?usp=sharing"",""บุรีรัมย์!J520"")"),0)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IFERROR(__xludf.DUMMYFUNCTION("IMPORTRANGE(""https://docs.google.com/spreadsheets/d/1XL5vhW3sbDhbH9Cz0tuDiY8C3ctxq1tqvaCgkFb8cCA/edit?usp=sharing"",""บุรีรัมย์!I521"")"),0)</f>
        <v>0</v>
      </c>
      <c r="J626" s="189">
        <f ca="1">IFERROR(__xludf.DUMMYFUNCTION("IMPORTRANGE(""https://docs.google.com/spreadsheets/d/1XL5vhW3sbDhbH9Cz0tuDiY8C3ctxq1tqvaCgkFb8cCA/edit?usp=sharing"",""บุรีรัมย์!J521"")"),0)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IFERROR(__xludf.DUMMYFUNCTION("IMPORTRANGE(""https://docs.google.com/spreadsheets/d/1XL5vhW3sbDhbH9Cz0tuDiY8C3ctxq1tqvaCgkFb8cCA/edit?usp=sharing"",""บุรีรัมย์!I523"")"),2877593.82)</f>
        <v>2877593.82</v>
      </c>
      <c r="J628" s="341">
        <f ca="1">IFERROR(__xludf.DUMMYFUNCTION("IMPORTRANGE(""https://docs.google.com/spreadsheets/d/1XL5vhW3sbDhbH9Cz0tuDiY8C3ctxq1tqvaCgkFb8cCA/edit?usp=sharing"",""บุรีรัมย์!J523"")"),664038.23)</f>
        <v>664038.23</v>
      </c>
      <c r="K628" s="342">
        <f t="shared" ref="K628:K635" ca="1" si="129">IF(I628&gt;0,J628*100/I628,0)</f>
        <v>23.07616263924281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IFERROR(__xludf.DUMMYFUNCTION("IMPORTRANGE(""https://docs.google.com/spreadsheets/d/1XL5vhW3sbDhbH9Cz0tuDiY8C3ctxq1tqvaCgkFb8cCA/edit?usp=sharing"",""บุรีรัมย์!I524"")"),259)</f>
        <v>259</v>
      </c>
      <c r="J629" s="341">
        <f ca="1">IFERROR(__xludf.DUMMYFUNCTION("IMPORTRANGE(""https://docs.google.com/spreadsheets/d/1XL5vhW3sbDhbH9Cz0tuDiY8C3ctxq1tqvaCgkFb8cCA/edit?usp=sharing"",""บุรีรัมย์!J524"")"),55)</f>
        <v>55</v>
      </c>
      <c r="K629" s="342">
        <f t="shared" ca="1" si="129"/>
        <v>21.235521235521237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IFERROR(__xludf.DUMMYFUNCTION("IMPORTRANGE(""https://docs.google.com/spreadsheets/d/1XL5vhW3sbDhbH9Cz0tuDiY8C3ctxq1tqvaCgkFb8cCA/edit?usp=sharing"",""บุรีรัมย์!I525"")"),5401164.47)</f>
        <v>5401164.4699999997</v>
      </c>
      <c r="J630" s="341">
        <f ca="1">IFERROR(__xludf.DUMMYFUNCTION("IMPORTRANGE(""https://docs.google.com/spreadsheets/d/1XL5vhW3sbDhbH9Cz0tuDiY8C3ctxq1tqvaCgkFb8cCA/edit?usp=sharing"",""บุรีรัมย์!J525"")"),1477761.7)</f>
        <v>1477761.7</v>
      </c>
      <c r="K630" s="342">
        <f t="shared" ca="1" si="129"/>
        <v>27.360057413693237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IFERROR(__xludf.DUMMYFUNCTION("IMPORTRANGE(""https://docs.google.com/spreadsheets/d/1XL5vhW3sbDhbH9Cz0tuDiY8C3ctxq1tqvaCgkFb8cCA/edit?usp=sharing"",""บุรีรัมย์!I526"")"),250)</f>
        <v>250</v>
      </c>
      <c r="J631" s="341">
        <f ca="1">IFERROR(__xludf.DUMMYFUNCTION("IMPORTRANGE(""https://docs.google.com/spreadsheets/d/1XL5vhW3sbDhbH9Cz0tuDiY8C3ctxq1tqvaCgkFb8cCA/edit?usp=sharing"",""บุรีรัมย์!J526"")"),144)</f>
        <v>144</v>
      </c>
      <c r="K631" s="342">
        <f t="shared" ca="1" si="129"/>
        <v>57.6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IFERROR(__xludf.DUMMYFUNCTION("IMPORTRANGE(""https://docs.google.com/spreadsheets/d/1XL5vhW3sbDhbH9Cz0tuDiY8C3ctxq1tqvaCgkFb8cCA/edit?usp=sharing"",""บุรีรัมย์!I527"")"),2944777.57)</f>
        <v>2944777.57</v>
      </c>
      <c r="J632" s="341">
        <f ca="1">IFERROR(__xludf.DUMMYFUNCTION("IMPORTRANGE(""https://docs.google.com/spreadsheets/d/1XL5vhW3sbDhbH9Cz0tuDiY8C3ctxq1tqvaCgkFb8cCA/edit?usp=sharing"",""บุรีรัมย์!J527"")"),848061.27)</f>
        <v>848061.27</v>
      </c>
      <c r="K632" s="342">
        <f t="shared" ca="1" si="129"/>
        <v>28.798822656069063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IFERROR(__xludf.DUMMYFUNCTION("IMPORTRANGE(""https://docs.google.com/spreadsheets/d/1XL5vhW3sbDhbH9Cz0tuDiY8C3ctxq1tqvaCgkFb8cCA/edit?usp=sharing"",""บุรีรัมย์!I528"")"),233)</f>
        <v>233</v>
      </c>
      <c r="J633" s="341">
        <f ca="1">IFERROR(__xludf.DUMMYFUNCTION("IMPORTRANGE(""https://docs.google.com/spreadsheets/d/1XL5vhW3sbDhbH9Cz0tuDiY8C3ctxq1tqvaCgkFb8cCA/edit?usp=sharing"",""บุรีรัมย์!J528"")"),182)</f>
        <v>182</v>
      </c>
      <c r="K633" s="342">
        <f t="shared" ca="1" si="129"/>
        <v>78.111587982832617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IFERROR(__xludf.DUMMYFUNCTION("IMPORTRANGE(""https://docs.google.com/spreadsheets/d/1XL5vhW3sbDhbH9Cz0tuDiY8C3ctxq1tqvaCgkFb8cCA/edit?usp=sharing"",""บุรีรัมย์!I529"")"),3000000)</f>
        <v>3000000</v>
      </c>
      <c r="J634" s="341">
        <f ca="1">IFERROR(__xludf.DUMMYFUNCTION("IMPORTRANGE(""https://docs.google.com/spreadsheets/d/1XL5vhW3sbDhbH9Cz0tuDiY8C3ctxq1tqvaCgkFb8cCA/edit?usp=sharing"",""บุรีรัมย์!J529"")"),0)</f>
        <v>0</v>
      </c>
      <c r="K634" s="342">
        <f t="shared" ca="1" si="129"/>
        <v>0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IFERROR(__xludf.DUMMYFUNCTION("IMPORTRANGE(""https://docs.google.com/spreadsheets/d/1XL5vhW3sbDhbH9Cz0tuDiY8C3ctxq1tqvaCgkFb8cCA/edit?usp=sharing"",""บุรีรัมย์!I530"")"),85)</f>
        <v>85</v>
      </c>
      <c r="J635" s="504">
        <f ca="1">IFERROR(__xludf.DUMMYFUNCTION("IMPORTRANGE(""https://docs.google.com/spreadsheets/d/1XL5vhW3sbDhbH9Cz0tuDiY8C3ctxq1tqvaCgkFb8cCA/edit?usp=sharing"",""บุรีรัมย์!J530"")"),0)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49" t="s">
        <v>237</v>
      </c>
      <c r="F636" s="549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12" sqref="J12"/>
      <selection pane="bottomLeft" activeCell="G555" sqref="G555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5.36328125" bestFit="1" customWidth="1"/>
    <col min="10" max="10" width="13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56" t="s">
        <v>0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</row>
    <row r="2" spans="1:16" ht="18" customHeight="1" x14ac:dyDescent="0.35">
      <c r="A2" s="556" t="s">
        <v>252</v>
      </c>
      <c r="B2" s="556"/>
      <c r="C2" s="556"/>
      <c r="D2" s="556"/>
      <c r="E2" s="556"/>
      <c r="F2" s="556"/>
      <c r="G2" s="556"/>
      <c r="H2" s="556"/>
      <c r="I2" s="556"/>
      <c r="J2" s="556"/>
      <c r="K2" s="556"/>
      <c r="L2" s="556"/>
      <c r="M2" s="556"/>
      <c r="N2" s="556"/>
      <c r="O2" s="556"/>
      <c r="P2" s="556"/>
    </row>
    <row r="3" spans="1:16" ht="18" customHeight="1" x14ac:dyDescent="0.35">
      <c r="A3" s="556" t="s">
        <v>278</v>
      </c>
      <c r="B3" s="556"/>
      <c r="C3" s="556"/>
      <c r="D3" s="556"/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6"/>
      <c r="P3" s="55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79" t="s">
        <v>2</v>
      </c>
      <c r="B5" s="565"/>
      <c r="C5" s="565"/>
      <c r="D5" s="565"/>
      <c r="E5" s="565"/>
      <c r="F5" s="565"/>
      <c r="G5" s="566"/>
      <c r="H5" s="578" t="s">
        <v>3</v>
      </c>
      <c r="I5" s="559" t="s">
        <v>4</v>
      </c>
      <c r="J5" s="560"/>
      <c r="K5" s="561"/>
      <c r="L5" s="562" t="s">
        <v>5</v>
      </c>
      <c r="M5" s="561"/>
      <c r="N5" s="563" t="s">
        <v>6</v>
      </c>
      <c r="O5" s="560"/>
      <c r="P5" s="561"/>
    </row>
    <row r="6" spans="1:16" ht="21.75" customHeight="1" x14ac:dyDescent="0.35">
      <c r="A6" s="567"/>
      <c r="B6" s="568"/>
      <c r="C6" s="568"/>
      <c r="D6" s="568"/>
      <c r="E6" s="568"/>
      <c r="F6" s="568"/>
      <c r="G6" s="569"/>
      <c r="H6" s="55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80" t="s">
        <v>15</v>
      </c>
      <c r="B7" s="560"/>
      <c r="C7" s="560"/>
      <c r="D7" s="560"/>
      <c r="E7" s="560"/>
      <c r="F7" s="560"/>
      <c r="G7" s="561"/>
      <c r="H7" s="512"/>
      <c r="I7" s="513"/>
      <c r="J7" s="513"/>
      <c r="K7" s="514"/>
      <c r="L7" s="515"/>
      <c r="M7" s="514"/>
      <c r="N7" s="515"/>
      <c r="O7" s="516"/>
      <c r="P7" s="516"/>
    </row>
    <row r="8" spans="1:16" ht="21.75" customHeight="1" x14ac:dyDescent="0.45">
      <c r="A8" s="17"/>
      <c r="B8" s="18"/>
      <c r="C8" s="19" t="s">
        <v>16</v>
      </c>
      <c r="D8" s="571" t="s">
        <v>17</v>
      </c>
      <c r="E8" s="555"/>
      <c r="F8" s="555"/>
      <c r="G8" s="555"/>
      <c r="H8" s="20" t="s">
        <v>12</v>
      </c>
      <c r="I8" s="21"/>
      <c r="J8" s="21"/>
      <c r="K8" s="22"/>
      <c r="L8" s="23">
        <f t="shared" ref="L8:N8" ca="1" si="0">L9+L10</f>
        <v>5621777</v>
      </c>
      <c r="M8" s="23">
        <f t="shared" ca="1" si="0"/>
        <v>2577909</v>
      </c>
      <c r="N8" s="23">
        <f t="shared" ca="1" si="0"/>
        <v>2307413.79</v>
      </c>
      <c r="O8" s="22">
        <f t="shared" ref="O8:O16" ca="1" si="1">IF(L8&gt;0,N8*100/L8,0)</f>
        <v>41.044207018528127</v>
      </c>
      <c r="P8" s="22">
        <f t="shared" ref="P8:P16" ca="1" si="2">IF(M8&gt;0,N8*100/M8,0)</f>
        <v>89.507185474739416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5621777</v>
      </c>
      <c r="M10" s="30">
        <f t="shared" ca="1" si="4"/>
        <v>2577909</v>
      </c>
      <c r="N10" s="30">
        <f t="shared" ca="1" si="4"/>
        <v>2307413.79</v>
      </c>
      <c r="O10" s="29">
        <f t="shared" ca="1" si="1"/>
        <v>41.044207018528127</v>
      </c>
      <c r="P10" s="29">
        <f t="shared" ca="1" si="2"/>
        <v>89.507185474739416</v>
      </c>
    </row>
    <row r="11" spans="1:16" ht="21.75" customHeight="1" x14ac:dyDescent="0.45">
      <c r="A11" s="31"/>
      <c r="B11" s="32"/>
      <c r="C11" s="33" t="s">
        <v>16</v>
      </c>
      <c r="D11" s="572" t="s">
        <v>20</v>
      </c>
      <c r="E11" s="553"/>
      <c r="F11" s="55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5484377</v>
      </c>
      <c r="M12" s="38">
        <f t="shared" ca="1" si="6"/>
        <v>2440509</v>
      </c>
      <c r="N12" s="38">
        <f t="shared" ca="1" si="6"/>
        <v>2170013.79</v>
      </c>
      <c r="O12" s="38">
        <f t="shared" ca="1" si="1"/>
        <v>39.567188579486789</v>
      </c>
      <c r="P12" s="38">
        <f t="shared" ca="1" si="2"/>
        <v>88.91644284040747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1775500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3708877</v>
      </c>
      <c r="M14" s="38">
        <f t="shared" si="8"/>
        <v>0</v>
      </c>
      <c r="N14" s="38">
        <f t="shared" ca="1" si="8"/>
        <v>592274.11</v>
      </c>
      <c r="O14" s="38">
        <f t="shared" ca="1" si="1"/>
        <v>15.969095497100605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2" t="s">
        <v>23</v>
      </c>
      <c r="E15" s="55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137400</v>
      </c>
      <c r="M16" s="38">
        <f t="shared" ca="1" si="10"/>
        <v>137400</v>
      </c>
      <c r="N16" s="38">
        <f t="shared" ca="1" si="10"/>
        <v>137400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80" t="s">
        <v>24</v>
      </c>
      <c r="B17" s="560"/>
      <c r="C17" s="560"/>
      <c r="D17" s="560"/>
      <c r="E17" s="560"/>
      <c r="F17" s="560"/>
      <c r="G17" s="561"/>
      <c r="H17" s="512"/>
      <c r="I17" s="513"/>
      <c r="J17" s="513"/>
      <c r="K17" s="514"/>
      <c r="L17" s="515"/>
      <c r="M17" s="514"/>
      <c r="N17" s="515"/>
      <c r="O17" s="516"/>
      <c r="P17" s="516"/>
    </row>
    <row r="18" spans="1:16" ht="21.75" customHeight="1" x14ac:dyDescent="0.45">
      <c r="A18" s="17"/>
      <c r="B18" s="18"/>
      <c r="C18" s="19" t="s">
        <v>16</v>
      </c>
      <c r="D18" s="571" t="s">
        <v>17</v>
      </c>
      <c r="E18" s="555"/>
      <c r="F18" s="555"/>
      <c r="G18" s="555"/>
      <c r="H18" s="20" t="s">
        <v>12</v>
      </c>
      <c r="I18" s="21"/>
      <c r="J18" s="21"/>
      <c r="K18" s="22"/>
      <c r="L18" s="23">
        <f t="shared" ref="L18:N18" ca="1" si="11">L19+L20</f>
        <v>3256320</v>
      </c>
      <c r="M18" s="23">
        <f t="shared" ca="1" si="11"/>
        <v>2577909</v>
      </c>
      <c r="N18" s="23">
        <f t="shared" ca="1" si="11"/>
        <v>1715139.6800000002</v>
      </c>
      <c r="O18" s="22">
        <f t="shared" ref="O18:O20" ca="1" si="12">IF(L18&gt;0,N18*100/L18,0)</f>
        <v>52.671103577044036</v>
      </c>
      <c r="P18" s="22">
        <f t="shared" ref="P18:P26" ca="1" si="13">IF(M18&gt;0,N18*100/M18,0)</f>
        <v>66.532204201156844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3256320</v>
      </c>
      <c r="M20" s="30">
        <f t="shared" ca="1" si="15"/>
        <v>2577909</v>
      </c>
      <c r="N20" s="30">
        <f t="shared" ca="1" si="15"/>
        <v>1715139.6800000002</v>
      </c>
      <c r="O20" s="29">
        <f t="shared" ca="1" si="12"/>
        <v>52.671103577044036</v>
      </c>
      <c r="P20" s="29">
        <f t="shared" ca="1" si="13"/>
        <v>66.532204201156844</v>
      </c>
    </row>
    <row r="21" spans="1:16" ht="21.75" customHeight="1" x14ac:dyDescent="0.45">
      <c r="A21" s="31"/>
      <c r="B21" s="32"/>
      <c r="C21" s="33" t="s">
        <v>16</v>
      </c>
      <c r="D21" s="572" t="s">
        <v>20</v>
      </c>
      <c r="E21" s="553"/>
      <c r="F21" s="55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3118920</v>
      </c>
      <c r="M22" s="41">
        <f t="shared" ca="1" si="18"/>
        <v>2440509</v>
      </c>
      <c r="N22" s="38">
        <f t="shared" ca="1" si="18"/>
        <v>1577739.6800000002</v>
      </c>
      <c r="O22" s="38">
        <f t="shared" ca="1" si="17"/>
        <v>50.586090056814548</v>
      </c>
      <c r="P22" s="38">
        <f t="shared" ca="1" si="13"/>
        <v>64.647976303303949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1775500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1343420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2" t="s">
        <v>23</v>
      </c>
      <c r="E25" s="55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137400</v>
      </c>
      <c r="M26" s="49">
        <f t="shared" ca="1" si="22"/>
        <v>137400</v>
      </c>
      <c r="N26" s="49">
        <f t="shared" ca="1" si="22"/>
        <v>137400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80" t="s">
        <v>25</v>
      </c>
      <c r="B27" s="560"/>
      <c r="C27" s="560"/>
      <c r="D27" s="560"/>
      <c r="E27" s="560"/>
      <c r="F27" s="560"/>
      <c r="G27" s="561"/>
      <c r="H27" s="512"/>
      <c r="I27" s="513"/>
      <c r="J27" s="513"/>
      <c r="K27" s="514"/>
      <c r="L27" s="515"/>
      <c r="M27" s="514"/>
      <c r="N27" s="515"/>
      <c r="O27" s="516"/>
      <c r="P27" s="516"/>
    </row>
    <row r="28" spans="1:16" ht="21.75" customHeight="1" x14ac:dyDescent="0.45">
      <c r="A28" s="17"/>
      <c r="B28" s="18"/>
      <c r="C28" s="19" t="s">
        <v>16</v>
      </c>
      <c r="D28" s="571" t="s">
        <v>17</v>
      </c>
      <c r="E28" s="555"/>
      <c r="F28" s="555"/>
      <c r="G28" s="555"/>
      <c r="H28" s="20" t="s">
        <v>12</v>
      </c>
      <c r="I28" s="21"/>
      <c r="J28" s="21"/>
      <c r="K28" s="22"/>
      <c r="L28" s="23">
        <f t="shared" ref="L28:N28" ca="1" si="23">L29+L30</f>
        <v>2365457</v>
      </c>
      <c r="M28" s="23">
        <f t="shared" si="23"/>
        <v>0</v>
      </c>
      <c r="N28" s="23">
        <f t="shared" ca="1" si="23"/>
        <v>592274.11</v>
      </c>
      <c r="O28" s="22">
        <f t="shared" ref="O28:O30" ca="1" si="24">IF(L28&gt;0,N28*100/L28,0)</f>
        <v>25.038464448941578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2365457</v>
      </c>
      <c r="M30" s="30">
        <f t="shared" si="27"/>
        <v>0</v>
      </c>
      <c r="N30" s="30">
        <f t="shared" ca="1" si="27"/>
        <v>592274.11</v>
      </c>
      <c r="O30" s="29">
        <f t="shared" ca="1" si="24"/>
        <v>25.038464448941578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2" t="s">
        <v>20</v>
      </c>
      <c r="E31" s="553"/>
      <c r="F31" s="55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2365457</v>
      </c>
      <c r="M32" s="38">
        <f t="shared" si="30"/>
        <v>0</v>
      </c>
      <c r="N32" s="38">
        <f t="shared" ca="1" si="30"/>
        <v>592274.11</v>
      </c>
      <c r="O32" s="38">
        <f t="shared" ca="1" si="29"/>
        <v>25.038464448941578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2365457</v>
      </c>
      <c r="M34" s="38">
        <f t="shared" si="32"/>
        <v>0</v>
      </c>
      <c r="N34" s="38">
        <f t="shared" ca="1" si="32"/>
        <v>592274.11</v>
      </c>
      <c r="O34" s="38">
        <f t="shared" ca="1" si="29"/>
        <v>25.038464448941578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2" t="s">
        <v>23</v>
      </c>
      <c r="E35" s="55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3256320</v>
      </c>
      <c r="M37" s="54">
        <f t="shared" ca="1" si="33"/>
        <v>2577909</v>
      </c>
      <c r="N37" s="54">
        <f t="shared" ca="1" si="33"/>
        <v>1715139.6800000002</v>
      </c>
      <c r="O37" s="55">
        <f t="shared" ca="1" si="29"/>
        <v>52.671103577044036</v>
      </c>
      <c r="P37" s="55">
        <f t="shared" ca="1" si="25"/>
        <v>66.532204201156844</v>
      </c>
    </row>
    <row r="38" spans="1:16" ht="21.75" customHeight="1" x14ac:dyDescent="0.45">
      <c r="A38" s="581" t="s">
        <v>27</v>
      </c>
      <c r="B38" s="560"/>
      <c r="C38" s="560"/>
      <c r="D38" s="560"/>
      <c r="E38" s="560"/>
      <c r="F38" s="560"/>
      <c r="G38" s="561"/>
      <c r="H38" s="517"/>
      <c r="I38" s="518"/>
      <c r="J38" s="518"/>
      <c r="K38" s="519"/>
      <c r="L38" s="520"/>
      <c r="M38" s="520"/>
      <c r="N38" s="520"/>
      <c r="O38" s="520"/>
      <c r="P38" s="520"/>
    </row>
    <row r="39" spans="1:16" ht="21.75" customHeight="1" x14ac:dyDescent="0.45">
      <c r="A39" s="521"/>
      <c r="B39" s="582" t="s">
        <v>28</v>
      </c>
      <c r="C39" s="555"/>
      <c r="D39" s="555"/>
      <c r="E39" s="555"/>
      <c r="F39" s="555"/>
      <c r="G39" s="555"/>
      <c r="H39" s="522"/>
      <c r="I39" s="523"/>
      <c r="J39" s="523"/>
      <c r="K39" s="524"/>
      <c r="L39" s="525"/>
      <c r="M39" s="525"/>
      <c r="N39" s="525"/>
      <c r="O39" s="524"/>
      <c r="P39" s="524"/>
    </row>
    <row r="40" spans="1:16" ht="21.75" customHeight="1" x14ac:dyDescent="0.45">
      <c r="A40" s="526"/>
      <c r="B40" s="527" t="s">
        <v>29</v>
      </c>
      <c r="C40" s="528"/>
      <c r="D40" s="528"/>
      <c r="E40" s="528"/>
      <c r="F40" s="528"/>
      <c r="G40" s="528"/>
      <c r="H40" s="529"/>
      <c r="I40" s="530"/>
      <c r="J40" s="530"/>
      <c r="K40" s="531"/>
      <c r="L40" s="532"/>
      <c r="M40" s="532"/>
      <c r="N40" s="532"/>
      <c r="O40" s="531"/>
      <c r="P40" s="531"/>
    </row>
    <row r="41" spans="1:16" ht="21.75" customHeight="1" x14ac:dyDescent="0.45">
      <c r="A41" s="72"/>
      <c r="B41" s="73"/>
      <c r="C41" s="74" t="s">
        <v>16</v>
      </c>
      <c r="D41" s="575" t="s">
        <v>17</v>
      </c>
      <c r="E41" s="553"/>
      <c r="F41" s="553"/>
      <c r="G41" s="553"/>
      <c r="H41" s="75" t="s">
        <v>12</v>
      </c>
      <c r="I41" s="76"/>
      <c r="J41" s="76"/>
      <c r="K41" s="77"/>
      <c r="L41" s="78">
        <f t="shared" ref="L41:N41" ca="1" si="34">L42+L43</f>
        <v>676300</v>
      </c>
      <c r="M41" s="78">
        <f t="shared" ca="1" si="34"/>
        <v>507200</v>
      </c>
      <c r="N41" s="78">
        <f t="shared" ca="1" si="34"/>
        <v>317064.32000000001</v>
      </c>
      <c r="O41" s="77">
        <f t="shared" ref="O41:O43" ca="1" si="35">IF(L41&gt;0,N41*100/L41,0)</f>
        <v>46.882200207008722</v>
      </c>
      <c r="P41" s="77">
        <f t="shared" ref="P41:P43" ca="1" si="36">IF(M41&gt;0,N41*100/M41,0)</f>
        <v>62.512681388012616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676300</v>
      </c>
      <c r="M43" s="78">
        <f t="shared" ca="1" si="38"/>
        <v>507200</v>
      </c>
      <c r="N43" s="78">
        <f t="shared" ca="1" si="38"/>
        <v>317064.32000000001</v>
      </c>
      <c r="O43" s="77">
        <f t="shared" ca="1" si="35"/>
        <v>46.882200207008722</v>
      </c>
      <c r="P43" s="77">
        <f t="shared" ca="1" si="36"/>
        <v>62.512681388012616</v>
      </c>
    </row>
    <row r="44" spans="1:16" ht="21.75" customHeight="1" x14ac:dyDescent="0.45">
      <c r="A44" s="79"/>
      <c r="B44" s="80"/>
      <c r="C44" s="81" t="s">
        <v>16</v>
      </c>
      <c r="D44" s="552" t="s">
        <v>20</v>
      </c>
      <c r="E44" s="553"/>
      <c r="F44" s="55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676300</v>
      </c>
      <c r="M45" s="533">
        <f ca="1">IFERROR(__xludf.DUMMYFUNCTION("IMPORTRANGE(""https://docs.google.com/spreadsheets/d/1Yj_ptqi66GCucihVvJfMjLAmec39IyEx_6qawtMGysU/edit?usp=sharing"",""สบก!Q45"")"),507200)</f>
        <v>507200</v>
      </c>
      <c r="N45" s="533">
        <f ca="1">IFERROR(__xludf.DUMMYFUNCTION("IMPORTRANGE(""https://docs.google.com/spreadsheets/d/1Yj_ptqi66GCucihVvJfMjLAmec39IyEx_6qawtMGysU/edit?usp=sharing"",""สบก!R45"")"),317064.32)</f>
        <v>317064.32000000001</v>
      </c>
      <c r="O45" s="534">
        <f ca="1">IF(L45&gt;0,N45*100/L45,0)</f>
        <v>46.882200207008722</v>
      </c>
      <c r="P45" s="534">
        <f ca="1">IF(M45&gt;0,N45*100/M45,0)</f>
        <v>62.512681388012616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533">
        <f ca="1">IFERROR(__xludf.DUMMYFUNCTION("IMPORTRANGE(""https://docs.google.com/spreadsheets/d/1Yj_ptqi66GCucihVvJfMjLAmec39IyEx_6qawtMGysU/edit?usp=sharing"",""สบก!M45"")"),676300)</f>
        <v>676300</v>
      </c>
      <c r="M46" s="535"/>
      <c r="N46" s="38"/>
      <c r="O46" s="534"/>
      <c r="P46" s="534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533">
        <f ca="1">IFERROR(__xludf.DUMMYFUNCTION("IMPORTRANGE(""https://docs.google.com/spreadsheets/d/1Yj_ptqi66GCucihVvJfMjLAmec39IyEx_6qawtMGysU/edit?usp=sharing"",""สบก!N45"")"),0)</f>
        <v>0</v>
      </c>
      <c r="M47" s="535"/>
      <c r="N47" s="38"/>
      <c r="O47" s="534"/>
      <c r="P47" s="534"/>
    </row>
    <row r="48" spans="1:16" ht="21.75" customHeight="1" x14ac:dyDescent="0.45">
      <c r="A48" s="79"/>
      <c r="B48" s="80"/>
      <c r="C48" s="81" t="s">
        <v>16</v>
      </c>
      <c r="D48" s="552" t="s">
        <v>23</v>
      </c>
      <c r="E48" s="55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535"/>
      <c r="N48" s="41"/>
      <c r="O48" s="535"/>
      <c r="P48" s="535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33">
        <f ca="1">IFERROR(__xludf.DUMMYFUNCTION("IMPORTRANGE(""https://docs.google.com/spreadsheets/d/1Yj_ptqi66GCucihVvJfMjLAmec39IyEx_6qawtMGysU/edit?usp=sharing"",""สบก!O45"")"),0)</f>
        <v>0</v>
      </c>
      <c r="M49" s="536"/>
      <c r="N49" s="533">
        <f ca="1">IFERROR(__xludf.DUMMYFUNCTION("IMPORTRANGE(""https://docs.google.com/spreadsheets/d/1Yj_ptqi66GCucihVvJfMjLAmec39IyEx_6qawtMGysU/edit?usp=sharing"",""สบก!S45"")"),0)</f>
        <v>0</v>
      </c>
      <c r="O49" s="536">
        <f ca="1">IF(L49&gt;0,N49*100/L49,0)</f>
        <v>0</v>
      </c>
      <c r="P49" s="536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76" t="s">
        <v>32</v>
      </c>
      <c r="C52" s="553"/>
      <c r="D52" s="553"/>
      <c r="E52" s="553"/>
      <c r="F52" s="553"/>
      <c r="G52" s="55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77" t="s">
        <v>17</v>
      </c>
      <c r="E53" s="553"/>
      <c r="F53" s="553"/>
      <c r="G53" s="553"/>
      <c r="H53" s="118" t="s">
        <v>12</v>
      </c>
      <c r="I53" s="119"/>
      <c r="J53" s="119"/>
      <c r="K53" s="120"/>
      <c r="L53" s="121">
        <f t="shared" ref="L53:N53" ca="1" si="39">L54+L55</f>
        <v>470400</v>
      </c>
      <c r="M53" s="121">
        <f t="shared" ca="1" si="39"/>
        <v>370514</v>
      </c>
      <c r="N53" s="121">
        <f t="shared" ca="1" si="39"/>
        <v>277106</v>
      </c>
      <c r="O53" s="120">
        <f t="shared" ref="O53:O55" ca="1" si="40">IF(L53&gt;0,N53*100/L53,0)</f>
        <v>58.908588435374149</v>
      </c>
      <c r="P53" s="120">
        <f t="shared" ref="P53:P55" ca="1" si="41">IF(M53&gt;0,N53*100/M53,0)</f>
        <v>74.789616586687686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470400</v>
      </c>
      <c r="M55" s="121">
        <f t="shared" ca="1" si="43"/>
        <v>370514</v>
      </c>
      <c r="N55" s="121">
        <f t="shared" ca="1" si="43"/>
        <v>277106</v>
      </c>
      <c r="O55" s="120">
        <f t="shared" ca="1" si="40"/>
        <v>58.908588435374149</v>
      </c>
      <c r="P55" s="120">
        <f t="shared" ca="1" si="41"/>
        <v>74.789616586687686</v>
      </c>
    </row>
    <row r="56" spans="1:16" ht="21.75" customHeight="1" x14ac:dyDescent="0.45">
      <c r="A56" s="79"/>
      <c r="B56" s="80"/>
      <c r="C56" s="81" t="s">
        <v>16</v>
      </c>
      <c r="D56" s="552" t="s">
        <v>20</v>
      </c>
      <c r="E56" s="553"/>
      <c r="F56" s="55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470400</v>
      </c>
      <c r="M57" s="533">
        <f ca="1">IFERROR(__xludf.DUMMYFUNCTION("IMPORTRANGE(""https://docs.google.com/spreadsheets/d/1Yj_ptqi66GCucihVvJfMjLAmec39IyEx_6qawtMGysU/edit?usp=sharing"",""สบก!Z45"")"),370514)</f>
        <v>370514</v>
      </c>
      <c r="N57" s="533">
        <f ca="1">IFERROR(__xludf.DUMMYFUNCTION("IMPORTRANGE(""https://docs.google.com/spreadsheets/d/1Yj_ptqi66GCucihVvJfMjLAmec39IyEx_6qawtMGysU/edit?usp=sharing"",""สบก!AA45"")"),277106)</f>
        <v>277106</v>
      </c>
      <c r="O57" s="534">
        <f ca="1">IF(L57&gt;0,N57*100/L57,0)</f>
        <v>58.908588435374149</v>
      </c>
      <c r="P57" s="534">
        <f ca="1">IF(M57&gt;0,N57*100/M57,0)</f>
        <v>74.789616586687686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533">
        <f ca="1">IFERROR(__xludf.DUMMYFUNCTION("IMPORTRANGE(""https://docs.google.com/spreadsheets/d/1Yj_ptqi66GCucihVvJfMjLAmec39IyEx_6qawtMGysU/edit?usp=sharing"",""สบก!V45"")"),470400)</f>
        <v>470400</v>
      </c>
      <c r="M58" s="535"/>
      <c r="N58" s="38"/>
      <c r="O58" s="534"/>
      <c r="P58" s="534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533">
        <f ca="1">IFERROR(__xludf.DUMMYFUNCTION("IMPORTRANGE(""https://docs.google.com/spreadsheets/d/1Yj_ptqi66GCucihVvJfMjLAmec39IyEx_6qawtMGysU/edit?usp=sharing"",""สบก!W45"")"),0)</f>
        <v>0</v>
      </c>
      <c r="M59" s="535"/>
      <c r="N59" s="38"/>
      <c r="O59" s="534"/>
      <c r="P59" s="534"/>
    </row>
    <row r="60" spans="1:16" ht="21.75" customHeight="1" x14ac:dyDescent="0.45">
      <c r="A60" s="79"/>
      <c r="B60" s="80"/>
      <c r="C60" s="81" t="s">
        <v>16</v>
      </c>
      <c r="D60" s="552" t="s">
        <v>23</v>
      </c>
      <c r="E60" s="55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535"/>
      <c r="N60" s="41"/>
      <c r="O60" s="535"/>
      <c r="P60" s="535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33">
        <f ca="1">IFERROR(__xludf.DUMMYFUNCTION("IMPORTRANGE(""https://docs.google.com/spreadsheets/d/1Yj_ptqi66GCucihVvJfMjLAmec39IyEx_6qawtMGysU/edit?usp=sharing"",""สบก!X45"")"),0)</f>
        <v>0</v>
      </c>
      <c r="M61" s="536"/>
      <c r="N61" s="533">
        <f ca="1">IFERROR(__xludf.DUMMYFUNCTION("IMPORTRANGE(""https://docs.google.com/spreadsheets/d/1Yj_ptqi66GCucihVvJfMjLAmec39IyEx_6qawtMGysU/edit?usp=sharing"",""สบก!AB45"")"),0)</f>
        <v>0</v>
      </c>
      <c r="O61" s="536">
        <f ca="1">IF(L61&gt;0,N61*100/L61,0)</f>
        <v>0</v>
      </c>
      <c r="P61" s="536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IFERROR(__xludf.DUMMYFUNCTION("IMPORTRANGE(""https://docs.google.com/spreadsheets/d/1XL5vhW3sbDhbH9Cz0tuDiY8C3ctxq1tqvaCgkFb8cCA/edit?usp=sharing"",""มหาสารคาม!I9"")"),2)</f>
        <v>2</v>
      </c>
      <c r="J64" s="142">
        <f ca="1">IFERROR(__xludf.DUMMYFUNCTION("IMPORTRANGE(""https://docs.google.com/spreadsheets/d/1XL5vhW3sbDhbH9Cz0tuDiY8C3ctxq1tqvaCgkFb8cCA/edit?usp=sharing"",""มหาสารคาม!J9"")"),2)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IFERROR(__xludf.DUMMYFUNCTION("IMPORTRANGE(""https://docs.google.com/spreadsheets/d/1XL5vhW3sbDhbH9Cz0tuDiY8C3ctxq1tqvaCgkFb8cCA/edit?usp=sharing"",""มหาสารคาม!I10"")"),77)</f>
        <v>77</v>
      </c>
      <c r="J65" s="142">
        <f ca="1">IFERROR(__xludf.DUMMYFUNCTION("IMPORTRANGE(""https://docs.google.com/spreadsheets/d/1XL5vhW3sbDhbH9Cz0tuDiY8C3ctxq1tqvaCgkFb8cCA/edit?usp=sharing"",""มหาสารคาม!J10"")"),77)</f>
        <v>77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54" t="s">
        <v>17</v>
      </c>
      <c r="E66" s="555"/>
      <c r="F66" s="555"/>
      <c r="G66" s="555"/>
      <c r="H66" s="149" t="s">
        <v>12</v>
      </c>
      <c r="I66" s="150"/>
      <c r="J66" s="150"/>
      <c r="K66" s="151"/>
      <c r="L66" s="152">
        <f t="shared" ref="L66:N66" ca="1" si="45">L67+L68</f>
        <v>1064200</v>
      </c>
      <c r="M66" s="152">
        <f t="shared" ca="1" si="45"/>
        <v>897000</v>
      </c>
      <c r="N66" s="152">
        <f t="shared" ca="1" si="45"/>
        <v>572406.51</v>
      </c>
      <c r="O66" s="151">
        <f t="shared" ref="O66:O68" ca="1" si="46">IF(L66&gt;0,N66*100/L66,0)</f>
        <v>53.787493892125539</v>
      </c>
      <c r="P66" s="151">
        <f t="shared" ref="P66:P68" ca="1" si="47">IF(M66&gt;0,N66*100/M66,0)</f>
        <v>63.813434782608695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1064200</v>
      </c>
      <c r="M68" s="157">
        <f t="shared" ca="1" si="49"/>
        <v>897000</v>
      </c>
      <c r="N68" s="157">
        <f t="shared" ca="1" si="49"/>
        <v>572406.51</v>
      </c>
      <c r="O68" s="156">
        <f t="shared" ca="1" si="46"/>
        <v>53.787493892125539</v>
      </c>
      <c r="P68" s="156">
        <f t="shared" ca="1" si="47"/>
        <v>63.813434782608695</v>
      </c>
    </row>
    <row r="69" spans="1:16" ht="21.75" customHeight="1" x14ac:dyDescent="0.45">
      <c r="A69" s="158"/>
      <c r="B69" s="159"/>
      <c r="C69" s="159" t="s">
        <v>16</v>
      </c>
      <c r="D69" s="552" t="s">
        <v>20</v>
      </c>
      <c r="E69" s="553"/>
      <c r="F69" s="55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1019200</v>
      </c>
      <c r="M70" s="537">
        <f ca="1">IFERROR(__xludf.DUMMYFUNCTION("IMPORTRANGE(""https://docs.google.com/spreadsheets/d/1Yj_ptqi66GCucihVvJfMjLAmec39IyEx_6qawtMGysU/edit?usp=sharing"",""สบก!AI45"")"),852000)</f>
        <v>852000</v>
      </c>
      <c r="N70" s="538">
        <f ca="1">IFERROR(__xludf.DUMMYFUNCTION("IMPORTRANGE(""https://docs.google.com/spreadsheets/d/1Yj_ptqi66GCucihVvJfMjLAmec39IyEx_6qawtMGysU/edit?usp=sharing"",""สบก!AJ45"")"),527406.51)</f>
        <v>527406.51</v>
      </c>
      <c r="O70" s="169">
        <f ca="1">IF(L70&gt;0,N70*100/L70,0)</f>
        <v>51.747106554160126</v>
      </c>
      <c r="P70" s="169">
        <f ca="1">IF(M70&gt;0,N70*100/M70,0)</f>
        <v>61.902172535211271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537">
        <f ca="1">IFERROR(__xludf.DUMMYFUNCTION("IMPORTRANGE(""https://docs.google.com/spreadsheets/d/1Yj_ptqi66GCucihVvJfMjLAmec39IyEx_6qawtMGysU/edit?usp=sharing"",""สบก!AE45"")"),322800)</f>
        <v>322800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537">
        <f ca="1">IFERROR(__xludf.DUMMYFUNCTION("IMPORTRANGE(""https://docs.google.com/spreadsheets/d/1Yj_ptqi66GCucihVvJfMjLAmec39IyEx_6qawtMGysU/edit?usp=sharing"",""สบก!AF45"")"),696400)</f>
        <v>696400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52" t="s">
        <v>23</v>
      </c>
      <c r="E73" s="553"/>
      <c r="F73" s="89"/>
      <c r="G73" s="82" t="s">
        <v>18</v>
      </c>
      <c r="H73" s="172" t="s">
        <v>12</v>
      </c>
      <c r="I73" s="84"/>
      <c r="J73" s="84"/>
      <c r="K73" s="85"/>
      <c r="L73" s="535">
        <v>0</v>
      </c>
      <c r="M73" s="535"/>
      <c r="N73" s="41"/>
      <c r="O73" s="535"/>
      <c r="P73" s="535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533">
        <f ca="1">IFERROR(__xludf.DUMMYFUNCTION("IMPORTRANGE(""https://docs.google.com/spreadsheets/d/1Yj_ptqi66GCucihVvJfMjLAmec39IyEx_6qawtMGysU/edit?usp=sharing"",""สบก!AG45"")"),45000)</f>
        <v>45000</v>
      </c>
      <c r="M74" s="536">
        <f ca="1">L74</f>
        <v>45000</v>
      </c>
      <c r="N74" s="533">
        <f ca="1">IFERROR(__xludf.DUMMYFUNCTION("IMPORTRANGE(""https://docs.google.com/spreadsheets/d/1Yj_ptqi66GCucihVvJfMjLAmec39IyEx_6qawtMGysU/edit?usp=sharing"",""สบก!AK45"")"),45000)</f>
        <v>45000</v>
      </c>
      <c r="O74" s="536">
        <f ca="1">IF(L74&gt;0,N74*100/L74,0)</f>
        <v>100</v>
      </c>
      <c r="P74" s="536">
        <f ca="1">IF(M74&gt;0,N74*100/M74,0)</f>
        <v>100</v>
      </c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IFERROR(__xludf.DUMMYFUNCTION("IMPORTRANGE(""https://docs.google.com/spreadsheets/d/1XL5vhW3sbDhbH9Cz0tuDiY8C3ctxq1tqvaCgkFb8cCA/edit?usp=sharing"",""มหาสารคาม!J16"")"),0)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IFERROR(__xludf.DUMMYFUNCTION("IMPORTRANGE(""https://docs.google.com/spreadsheets/d/1XL5vhW3sbDhbH9Cz0tuDiY8C3ctxq1tqvaCgkFb8cCA/edit?usp=sharing"",""มหาสารคาม!J17"")"),1)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IFERROR(__xludf.DUMMYFUNCTION("IMPORTRANGE(""https://docs.google.com/spreadsheets/d/1XL5vhW3sbDhbH9Cz0tuDiY8C3ctxq1tqvaCgkFb8cCA/edit?usp=sharing"",""มหาสารคาม!J18"")"),1)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IFERROR(__xludf.DUMMYFUNCTION("IMPORTRANGE(""https://docs.google.com/spreadsheets/d/1XL5vhW3sbDhbH9Cz0tuDiY8C3ctxq1tqvaCgkFb8cCA/edit?usp=sharing"",""มหาสารคาม!J19"")"),1)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IFERROR(__xludf.DUMMYFUNCTION("IMPORTRANGE(""https://docs.google.com/spreadsheets/d/1XL5vhW3sbDhbH9Cz0tuDiY8C3ctxq1tqvaCgkFb8cCA/edit?usp=sharing"",""มหาสารคาม!I20"")"),2)</f>
        <v>2</v>
      </c>
      <c r="J80" s="201">
        <f ca="1">IFERROR(__xludf.DUMMYFUNCTION("IMPORTRANGE(""https://docs.google.com/spreadsheets/d/1XL5vhW3sbDhbH9Cz0tuDiY8C3ctxq1tqvaCgkFb8cCA/edit?usp=sharing"",""มหาสารคาม!J20"")"),2)</f>
        <v>2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IFERROR(__xludf.DUMMYFUNCTION("IMPORTRANGE(""https://docs.google.com/spreadsheets/d/1XL5vhW3sbDhbH9Cz0tuDiY8C3ctxq1tqvaCgkFb8cCA/edit?usp=sharing"",""มหาสารคาม!I21"")"),77)</f>
        <v>77</v>
      </c>
      <c r="J81" s="201">
        <f ca="1">IFERROR(__xludf.DUMMYFUNCTION("IMPORTRANGE(""https://docs.google.com/spreadsheets/d/1XL5vhW3sbDhbH9Cz0tuDiY8C3ctxq1tqvaCgkFb8cCA/edit?usp=sharing"",""มหาสารคาม!J21"")"),77)</f>
        <v>77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IFERROR(__xludf.DUMMYFUNCTION("IMPORTRANGE(""https://docs.google.com/spreadsheets/d/1XL5vhW3sbDhbH9Cz0tuDiY8C3ctxq1tqvaCgkFb8cCA/edit?usp=sharing"",""มหาสารคาม!I22"")"),1)</f>
        <v>1</v>
      </c>
      <c r="J82" s="204">
        <f ca="1">IFERROR(__xludf.DUMMYFUNCTION("IMPORTRANGE(""https://docs.google.com/spreadsheets/d/1XL5vhW3sbDhbH9Cz0tuDiY8C3ctxq1tqvaCgkFb8cCA/edit?usp=sharing"",""มหาสารคาม!J22"")"),1)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IFERROR(__xludf.DUMMYFUNCTION("IMPORTRANGE(""https://docs.google.com/spreadsheets/d/1XL5vhW3sbDhbH9Cz0tuDiY8C3ctxq1tqvaCgkFb8cCA/edit?usp=sharing"",""มหาสารคาม!I23"")"),37)</f>
        <v>37</v>
      </c>
      <c r="J83" s="204">
        <f ca="1">IFERROR(__xludf.DUMMYFUNCTION("IMPORTRANGE(""https://docs.google.com/spreadsheets/d/1XL5vhW3sbDhbH9Cz0tuDiY8C3ctxq1tqvaCgkFb8cCA/edit?usp=sharing"",""มหาสารคาม!J23"")"),37)</f>
        <v>37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IFERROR(__xludf.DUMMYFUNCTION("IMPORTRANGE(""https://docs.google.com/spreadsheets/d/1XL5vhW3sbDhbH9Cz0tuDiY8C3ctxq1tqvaCgkFb8cCA/edit?usp=sharing"",""มหาสารคาม!I24"")"),1)</f>
        <v>1</v>
      </c>
      <c r="J84" s="189">
        <f ca="1">IFERROR(__xludf.DUMMYFUNCTION("IMPORTRANGE(""https://docs.google.com/spreadsheets/d/1XL5vhW3sbDhbH9Cz0tuDiY8C3ctxq1tqvaCgkFb8cCA/edit?usp=sharing"",""มหาสารคาม!J24"")"),1)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IFERROR(__xludf.DUMMYFUNCTION("IMPORTRANGE(""https://docs.google.com/spreadsheets/d/1XL5vhW3sbDhbH9Cz0tuDiY8C3ctxq1tqvaCgkFb8cCA/edit?usp=sharing"",""มหาสารคาม!I25"")"),40)</f>
        <v>40</v>
      </c>
      <c r="J85" s="189">
        <f ca="1">IFERROR(__xludf.DUMMYFUNCTION("IMPORTRANGE(""https://docs.google.com/spreadsheets/d/1XL5vhW3sbDhbH9Cz0tuDiY8C3ctxq1tqvaCgkFb8cCA/edit?usp=sharing"",""มหาสารคาม!J25"")"),40)</f>
        <v>40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IFERROR(__xludf.DUMMYFUNCTION("IMPORTRANGE(""https://docs.google.com/spreadsheets/d/1XL5vhW3sbDhbH9Cz0tuDiY8C3ctxq1tqvaCgkFb8cCA/edit?usp=sharing"",""มหาสารคาม!I26"")"),0)</f>
        <v>0</v>
      </c>
      <c r="J86" s="204">
        <f ca="1">IFERROR(__xludf.DUMMYFUNCTION("IMPORTRANGE(""https://docs.google.com/spreadsheets/d/1XL5vhW3sbDhbH9Cz0tuDiY8C3ctxq1tqvaCgkFb8cCA/edit?usp=sharing"",""มหาสารคาม!J26"")"),0)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IFERROR(__xludf.DUMMYFUNCTION("IMPORTRANGE(""https://docs.google.com/spreadsheets/d/1XL5vhW3sbDhbH9Cz0tuDiY8C3ctxq1tqvaCgkFb8cCA/edit?usp=sharing"",""มหาสารคาม!I27"")"),0)</f>
        <v>0</v>
      </c>
      <c r="J87" s="204">
        <f ca="1">IFERROR(__xludf.DUMMYFUNCTION("IMPORTRANGE(""https://docs.google.com/spreadsheets/d/1XL5vhW3sbDhbH9Cz0tuDiY8C3ctxq1tqvaCgkFb8cCA/edit?usp=sharing"",""มหาสารคาม!J27"")"),0)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IFERROR(__xludf.DUMMYFUNCTION("IMPORTRANGE(""https://docs.google.com/spreadsheets/d/1XL5vhW3sbDhbH9Cz0tuDiY8C3ctxq1tqvaCgkFb8cCA/edit?usp=sharing"",""มหาสารคาม!I28"")"),37)</f>
        <v>37</v>
      </c>
      <c r="J88" s="204">
        <f ca="1">IFERROR(__xludf.DUMMYFUNCTION("IMPORTRANGE(""https://docs.google.com/spreadsheets/d/1XL5vhW3sbDhbH9Cz0tuDiY8C3ctxq1tqvaCgkFb8cCA/edit?usp=sharing"",""มหาสารคาม!J28"")"),0)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IFERROR(__xludf.DUMMYFUNCTION("IMPORTRANGE(""https://docs.google.com/spreadsheets/d/1XL5vhW3sbDhbH9Cz0tuDiY8C3ctxq1tqvaCgkFb8cCA/edit?usp=sharing"",""มหาสารคาม!J29"")"),0)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IFERROR(__xludf.DUMMYFUNCTION("IMPORTRANGE(""https://docs.google.com/spreadsheets/d/1XL5vhW3sbDhbH9Cz0tuDiY8C3ctxq1tqvaCgkFb8cCA/edit?usp=sharing"",""มหาสารคาม!J30"")"),0)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IFERROR(__xludf.DUMMYFUNCTION("IMPORTRANGE(""https://docs.google.com/spreadsheets/d/1XL5vhW3sbDhbH9Cz0tuDiY8C3ctxq1tqvaCgkFb8cCA/edit?usp=sharing"",""มหาสารคาม!I32"")"),4)</f>
        <v>4</v>
      </c>
      <c r="J92" s="142">
        <f ca="1">IFERROR(__xludf.DUMMYFUNCTION("IMPORTRANGE(""https://docs.google.com/spreadsheets/d/1XL5vhW3sbDhbH9Cz0tuDiY8C3ctxq1tqvaCgkFb8cCA/edit?usp=sharing"",""มหาสารคาม!J32"")"),4)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IFERROR(__xludf.DUMMYFUNCTION("IMPORTRANGE(""https://docs.google.com/spreadsheets/d/1XL5vhW3sbDhbH9Cz0tuDiY8C3ctxq1tqvaCgkFb8cCA/edit?usp=sharing"",""มหาสารคาม!I33"")"),1)</f>
        <v>1</v>
      </c>
      <c r="J93" s="142">
        <f ca="1">IFERROR(__xludf.DUMMYFUNCTION("IMPORTRANGE(""https://docs.google.com/spreadsheets/d/1XL5vhW3sbDhbH9Cz0tuDiY8C3ctxq1tqvaCgkFb8cCA/edit?usp=sharing"",""มหาสารคาม!J33"")"),1)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54" t="s">
        <v>17</v>
      </c>
      <c r="E94" s="555"/>
      <c r="F94" s="555"/>
      <c r="G94" s="555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135800</v>
      </c>
      <c r="O94" s="151">
        <f t="shared" ref="O94:O96" ca="1" si="53">IF(L94&gt;0,N94*100/L94,0)</f>
        <v>63.310023310023311</v>
      </c>
      <c r="P94" s="151">
        <f t="shared" ref="P94:P96" ca="1" si="54">IF(M94&gt;0,N94*100/M94,0)</f>
        <v>63.310023310023311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135800</v>
      </c>
      <c r="O96" s="156">
        <f t="shared" ca="1" si="53"/>
        <v>63.310023310023311</v>
      </c>
      <c r="P96" s="156">
        <f t="shared" ca="1" si="54"/>
        <v>63.310023310023311</v>
      </c>
    </row>
    <row r="97" spans="1:16" ht="21.75" customHeight="1" x14ac:dyDescent="0.45">
      <c r="A97" s="158"/>
      <c r="B97" s="159"/>
      <c r="C97" s="159" t="s">
        <v>16</v>
      </c>
      <c r="D97" s="552" t="s">
        <v>20</v>
      </c>
      <c r="E97" s="553"/>
      <c r="F97" s="55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537">
        <f ca="1">IFERROR(__xludf.DUMMYFUNCTION("IMPORTRANGE(""https://docs.google.com/spreadsheets/d/1Yj_ptqi66GCucihVvJfMjLAmec39IyEx_6qawtMGysU/edit?usp=sharing"",""สบก!AR45"")"),122100)</f>
        <v>122100</v>
      </c>
      <c r="N98" s="538">
        <f ca="1">IFERROR(__xludf.DUMMYFUNCTION("IMPORTRANGE(""https://docs.google.com/spreadsheets/d/1Yj_ptqi66GCucihVvJfMjLAmec39IyEx_6qawtMGysU/edit?usp=sharing"",""สบก!AS45"")"),43400)</f>
        <v>43400</v>
      </c>
      <c r="O98" s="169">
        <f ca="1">IF(L98&gt;0,N98*100/L98,0)</f>
        <v>35.544635544635547</v>
      </c>
      <c r="P98" s="169">
        <f ca="1">IF(M98&gt;0,N98*100/M98,0)</f>
        <v>35.544635544635547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537">
        <f ca="1">IFERROR(__xludf.DUMMYFUNCTION("IMPORTRANGE(""https://docs.google.com/spreadsheets/d/1Yj_ptqi66GCucihVvJfMjLAmec39IyEx_6qawtMGysU/edit?usp=sharing"",""สบก!AN45"")"),0)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537">
        <f ca="1">IFERROR(__xludf.DUMMYFUNCTION("IMPORTRANGE(""https://docs.google.com/spreadsheets/d/1Yj_ptqi66GCucihVvJfMjLAmec39IyEx_6qawtMGysU/edit?usp=sharing"",""สบก!AO45"")"),122100)</f>
        <v>122100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52" t="s">
        <v>23</v>
      </c>
      <c r="E101" s="553"/>
      <c r="F101" s="89"/>
      <c r="G101" s="82" t="s">
        <v>18</v>
      </c>
      <c r="H101" s="172" t="s">
        <v>12</v>
      </c>
      <c r="I101" s="188"/>
      <c r="J101" s="188"/>
      <c r="K101" s="224"/>
      <c r="L101" s="535">
        <v>0</v>
      </c>
      <c r="M101" s="535"/>
      <c r="N101" s="41"/>
      <c r="O101" s="535"/>
      <c r="P101" s="535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533">
        <f ca="1">IFERROR(__xludf.DUMMYFUNCTION("IMPORTRANGE(""https://docs.google.com/spreadsheets/d/1Yj_ptqi66GCucihVvJfMjLAmec39IyEx_6qawtMGysU/edit?usp=sharing"",""สบก!AP45"")"),92400)</f>
        <v>92400</v>
      </c>
      <c r="M102" s="536">
        <f ca="1">L102</f>
        <v>92400</v>
      </c>
      <c r="N102" s="533">
        <f ca="1">IFERROR(__xludf.DUMMYFUNCTION("IMPORTRANGE(""https://docs.google.com/spreadsheets/d/1Yj_ptqi66GCucihVvJfMjLAmec39IyEx_6qawtMGysU/edit?usp=sharing"",""สบก!AT45"")"),92400)</f>
        <v>92400</v>
      </c>
      <c r="O102" s="536">
        <f ca="1">IF(L102&gt;0,N102*100/L102,0)</f>
        <v>100</v>
      </c>
      <c r="P102" s="536">
        <f ca="1">IF(M102&gt;0,N102*100/M102,0)</f>
        <v>100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IFERROR(__xludf.DUMMYFUNCTION("IMPORTRANGE(""https://docs.google.com/spreadsheets/d/1XL5vhW3sbDhbH9Cz0tuDiY8C3ctxq1tqvaCgkFb8cCA/edit?usp=sharing"",""มหาสารคาม!J39"")"),0)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IFERROR(__xludf.DUMMYFUNCTION("IMPORTRANGE(""https://docs.google.com/spreadsheets/d/1XL5vhW3sbDhbH9Cz0tuDiY8C3ctxq1tqvaCgkFb8cCA/edit?usp=sharing"",""มหาสารคาม!J40"")"),1)</f>
        <v>1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IFERROR(__xludf.DUMMYFUNCTION("IMPORTRANGE(""https://docs.google.com/spreadsheets/d/1XL5vhW3sbDhbH9Cz0tuDiY8C3ctxq1tqvaCgkFb8cCA/edit?usp=sharing"",""มหาสารคาม!J41"")"),1)</f>
        <v>1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IFERROR(__xludf.DUMMYFUNCTION("IMPORTRANGE(""https://docs.google.com/spreadsheets/d/1XL5vhW3sbDhbH9Cz0tuDiY8C3ctxq1tqvaCgkFb8cCA/edit?usp=sharing"",""มหาสารคาม!J42"")"),1)</f>
        <v>1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IFERROR(__xludf.DUMMYFUNCTION("IMPORTRANGE(""https://docs.google.com/spreadsheets/d/1XL5vhW3sbDhbH9Cz0tuDiY8C3ctxq1tqvaCgkFb8cCA/edit?usp=sharing"",""มหาสารคาม!I43"")"),1)</f>
        <v>1</v>
      </c>
      <c r="J108" s="204">
        <f ca="1">IFERROR(__xludf.DUMMYFUNCTION("IMPORTRANGE(""https://docs.google.com/spreadsheets/d/1XL5vhW3sbDhbH9Cz0tuDiY8C3ctxq1tqvaCgkFb8cCA/edit?usp=sharing"",""มหาสารคาม!J43"")"),1)</f>
        <v>1</v>
      </c>
      <c r="K108" s="224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IFERROR(__xludf.DUMMYFUNCTION("IMPORTRANGE(""https://docs.google.com/spreadsheets/d/1XL5vhW3sbDhbH9Cz0tuDiY8C3ctxq1tqvaCgkFb8cCA/edit?usp=sharing"",""มหาสารคาม!I44"")"),4)</f>
        <v>4</v>
      </c>
      <c r="J109" s="204">
        <f ca="1">IFERROR(__xludf.DUMMYFUNCTION("IMPORTRANGE(""https://docs.google.com/spreadsheets/d/1XL5vhW3sbDhbH9Cz0tuDiY8C3ctxq1tqvaCgkFb8cCA/edit?usp=sharing"",""มหาสารคาม!J44"")"),4)</f>
        <v>4</v>
      </c>
      <c r="K109" s="224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IFERROR(__xludf.DUMMYFUNCTION("IMPORTRANGE(""https://docs.google.com/spreadsheets/d/1XL5vhW3sbDhbH9Cz0tuDiY8C3ctxq1tqvaCgkFb8cCA/edit?usp=sharing"",""มหาสารคาม!I45"")"),4)</f>
        <v>4</v>
      </c>
      <c r="J110" s="204">
        <f ca="1">IFERROR(__xludf.DUMMYFUNCTION("IMPORTRANGE(""https://docs.google.com/spreadsheets/d/1XL5vhW3sbDhbH9Cz0tuDiY8C3ctxq1tqvaCgkFb8cCA/edit?usp=sharing"",""มหาสารคาม!J45"")"),4)</f>
        <v>4</v>
      </c>
      <c r="K110" s="224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IFERROR(__xludf.DUMMYFUNCTION("IMPORTRANGE(""https://docs.google.com/spreadsheets/d/1XL5vhW3sbDhbH9Cz0tuDiY8C3ctxq1tqvaCgkFb8cCA/edit?usp=sharing"",""มหาสารคาม!I46"")"),4)</f>
        <v>4</v>
      </c>
      <c r="J111" s="204">
        <f ca="1">IFERROR(__xludf.DUMMYFUNCTION("IMPORTRANGE(""https://docs.google.com/spreadsheets/d/1XL5vhW3sbDhbH9Cz0tuDiY8C3ctxq1tqvaCgkFb8cCA/edit?usp=sharing"",""มหาสารคาม!J46"")"),4)</f>
        <v>4</v>
      </c>
      <c r="K111" s="224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IFERROR(__xludf.DUMMYFUNCTION("IMPORTRANGE(""https://docs.google.com/spreadsheets/d/1XL5vhW3sbDhbH9Cz0tuDiY8C3ctxq1tqvaCgkFb8cCA/edit?usp=sharing"",""มหาสารคาม!I47"")"),4)</f>
        <v>4</v>
      </c>
      <c r="J112" s="204">
        <f ca="1">IFERROR(__xludf.DUMMYFUNCTION("IMPORTRANGE(""https://docs.google.com/spreadsheets/d/1XL5vhW3sbDhbH9Cz0tuDiY8C3ctxq1tqvaCgkFb8cCA/edit?usp=sharing"",""มหาสารคาม!J47"")"),4)</f>
        <v>4</v>
      </c>
      <c r="K112" s="224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IFERROR(__xludf.DUMMYFUNCTION("IMPORTRANGE(""https://docs.google.com/spreadsheets/d/1XL5vhW3sbDhbH9Cz0tuDiY8C3ctxq1tqvaCgkFb8cCA/edit?usp=sharing"",""มหาสารคาม!I48"")"),1)</f>
        <v>1</v>
      </c>
      <c r="J113" s="204">
        <f ca="1">IFERROR(__xludf.DUMMYFUNCTION("IMPORTRANGE(""https://docs.google.com/spreadsheets/d/1XL5vhW3sbDhbH9Cz0tuDiY8C3ctxq1tqvaCgkFb8cCA/edit?usp=sharing"",""มหาสารคาม!J48"")"),1)</f>
        <v>1</v>
      </c>
      <c r="K113" s="224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IFERROR(__xludf.DUMMYFUNCTION("IMPORTRANGE(""https://docs.google.com/spreadsheets/d/1XL5vhW3sbDhbH9Cz0tuDiY8C3ctxq1tqvaCgkFb8cCA/edit?usp=sharing"",""มหาสารคาม!J49"")"),1)</f>
        <v>1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IFERROR(__xludf.DUMMYFUNCTION("IMPORTRANGE(""https://docs.google.com/spreadsheets/d/1XL5vhW3sbDhbH9Cz0tuDiY8C3ctxq1tqvaCgkFb8cCA/edit?usp=sharing"",""มหาสารคาม!J50"")"),0)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IFERROR(__xludf.DUMMYFUNCTION("IMPORTRANGE(""https://docs.google.com/spreadsheets/d/1XL5vhW3sbDhbH9Cz0tuDiY8C3ctxq1tqvaCgkFb8cCA/edit?usp=sharing"",""มหาสารคาม!I52"")"),0)</f>
        <v>0</v>
      </c>
      <c r="J117" s="142">
        <f ca="1">IFERROR(__xludf.DUMMYFUNCTION("IMPORTRANGE(""https://docs.google.com/spreadsheets/d/1XL5vhW3sbDhbH9Cz0tuDiY8C3ctxq1tqvaCgkFb8cCA/edit?usp=sharing"",""มหาสารคาม!J52"")"),0)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54" t="s">
        <v>17</v>
      </c>
      <c r="E118" s="555"/>
      <c r="F118" s="555"/>
      <c r="G118" s="55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52" t="s">
        <v>20</v>
      </c>
      <c r="E121" s="553"/>
      <c r="F121" s="55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537">
        <f ca="1">IFERROR(__xludf.DUMMYFUNCTION("IMPORTRANGE(""https://docs.google.com/spreadsheets/d/1Yj_ptqi66GCucihVvJfMjLAmec39IyEx_6qawtMGysU/edit?usp=sharing"",""สบก!BA45"")"),0)</f>
        <v>0</v>
      </c>
      <c r="N122" s="538">
        <f ca="1">IFERROR(__xludf.DUMMYFUNCTION("IMPORTRANGE(""https://docs.google.com/spreadsheets/d/1Yj_ptqi66GCucihVvJfMjLAmec39IyEx_6qawtMGysU/edit?usp=sharing"",""สบก!BB45"")"),0)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537">
        <f ca="1">IFERROR(__xludf.DUMMYFUNCTION("IMPORTRANGE(""https://docs.google.com/spreadsheets/d/1Yj_ptqi66GCucihVvJfMjLAmec39IyEx_6qawtMGysU/edit?usp=sharing"",""สบก!AW45"")"),0)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537">
        <f ca="1">IFERROR(__xludf.DUMMYFUNCTION("IMPORTRANGE(""https://docs.google.com/spreadsheets/d/1Yj_ptqi66GCucihVvJfMjLAmec39IyEx_6qawtMGysU/edit?usp=sharing"",""สบก!AX45"")"),0)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52" t="s">
        <v>23</v>
      </c>
      <c r="E125" s="553"/>
      <c r="F125" s="89"/>
      <c r="G125" s="82" t="s">
        <v>18</v>
      </c>
      <c r="H125" s="172" t="s">
        <v>12</v>
      </c>
      <c r="I125" s="188"/>
      <c r="J125" s="188"/>
      <c r="K125" s="224"/>
      <c r="L125" s="535">
        <v>0</v>
      </c>
      <c r="M125" s="535"/>
      <c r="N125" s="41"/>
      <c r="O125" s="535"/>
      <c r="P125" s="535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533">
        <f ca="1">IFERROR(__xludf.DUMMYFUNCTION("IMPORTRANGE(""https://docs.google.com/spreadsheets/d/1Yj_ptqi66GCucihVvJfMjLAmec39IyEx_6qawtMGysU/edit?usp=sharing"",""สบก!AY45"")"),0)</f>
        <v>0</v>
      </c>
      <c r="M126" s="536"/>
      <c r="N126" s="533">
        <f ca="1">IFERROR(__xludf.DUMMYFUNCTION("IMPORTRANGE(""https://docs.google.com/spreadsheets/d/1Yj_ptqi66GCucihVvJfMjLAmec39IyEx_6qawtMGysU/edit?usp=sharing"",""สบก!BC45"")"),0)</f>
        <v>0</v>
      </c>
      <c r="O126" s="536">
        <f ca="1">IF(L126&gt;0,N126*100/L126,0)</f>
        <v>0</v>
      </c>
      <c r="P126" s="536"/>
    </row>
    <row r="127" spans="1:16" ht="21.75" customHeight="1" x14ac:dyDescent="0.35">
      <c r="A127" s="176"/>
      <c r="B127" s="177"/>
      <c r="C127" s="159" t="s">
        <v>16</v>
      </c>
      <c r="D127" s="233" t="s">
        <v>253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IFERROR(__xludf.DUMMYFUNCTION("IMPORTRANGE(""https://docs.google.com/spreadsheets/d/1XL5vhW3sbDhbH9Cz0tuDiY8C3ctxq1tqvaCgkFb8cCA/edit?usp=sharing"",""มหาสารคาม!J58"")"),0)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IFERROR(__xludf.DUMMYFUNCTION("IMPORTRANGE(""https://docs.google.com/spreadsheets/d/1XL5vhW3sbDhbH9Cz0tuDiY8C3ctxq1tqvaCgkFb8cCA/edit?usp=sharing"",""มหาสารคาม!J59"")"),0)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IFERROR(__xludf.DUMMYFUNCTION("IMPORTRANGE(""https://docs.google.com/spreadsheets/d/1XL5vhW3sbDhbH9Cz0tuDiY8C3ctxq1tqvaCgkFb8cCA/edit?usp=sharing"",""มหาสารคาม!J60"")"),0)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IFERROR(__xludf.DUMMYFUNCTION("IMPORTRANGE(""https://docs.google.com/spreadsheets/d/1XL5vhW3sbDhbH9Cz0tuDiY8C3ctxq1tqvaCgkFb8cCA/edit?usp=sharing"",""มหาสารคาม!J61"")"),0)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IFERROR(__xludf.DUMMYFUNCTION("IMPORTRANGE(""https://docs.google.com/spreadsheets/d/1XL5vhW3sbDhbH9Cz0tuDiY8C3ctxq1tqvaCgkFb8cCA/edit?usp=sharing"",""มหาสารคาม!I62"")"),0)</f>
        <v>0</v>
      </c>
      <c r="J132" s="204">
        <f ca="1">IFERROR(__xludf.DUMMYFUNCTION("IMPORTRANGE(""https://docs.google.com/spreadsheets/d/1XL5vhW3sbDhbH9Cz0tuDiY8C3ctxq1tqvaCgkFb8cCA/edit?usp=sharing"",""มหาสารคาม!J62"")"),0)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IFERROR(__xludf.DUMMYFUNCTION("IMPORTRANGE(""https://docs.google.com/spreadsheets/d/1XL5vhW3sbDhbH9Cz0tuDiY8C3ctxq1tqvaCgkFb8cCA/edit?usp=sharing"",""มหาสารคาม!I63"")"),0)</f>
        <v>0</v>
      </c>
      <c r="J133" s="204">
        <f ca="1">IFERROR(__xludf.DUMMYFUNCTION("IMPORTRANGE(""https://docs.google.com/spreadsheets/d/1XL5vhW3sbDhbH9Cz0tuDiY8C3ctxq1tqvaCgkFb8cCA/edit?usp=sharing"",""มหาสารคาม!J63"")"),0)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IFERROR(__xludf.DUMMYFUNCTION("IMPORTRANGE(""https://docs.google.com/spreadsheets/d/1XL5vhW3sbDhbH9Cz0tuDiY8C3ctxq1tqvaCgkFb8cCA/edit?usp=sharing"",""มหาสารคาม!J64"")"),0)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IFERROR(__xludf.DUMMYFUNCTION("IMPORTRANGE(""https://docs.google.com/spreadsheets/d/1XL5vhW3sbDhbH9Cz0tuDiY8C3ctxq1tqvaCgkFb8cCA/edit?usp=sharing"",""มหาสารคาม!J65"")"),0)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IFERROR(__xludf.DUMMYFUNCTION("IMPORTRANGE(""https://docs.google.com/spreadsheets/d/1XL5vhW3sbDhbH9Cz0tuDiY8C3ctxq1tqvaCgkFb8cCA/edit?usp=sharing"",""มหาสารคาม!I68"")"),0)</f>
        <v>0</v>
      </c>
      <c r="J138" s="267">
        <f ca="1">IFERROR(__xludf.DUMMYFUNCTION("IMPORTRANGE(""https://docs.google.com/spreadsheets/d/1XL5vhW3sbDhbH9Cz0tuDiY8C3ctxq1tqvaCgkFb8cCA/edit?usp=sharing"",""มหาสารคาม!J68"")"),0)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54" t="s">
        <v>17</v>
      </c>
      <c r="E140" s="555"/>
      <c r="F140" s="555"/>
      <c r="G140" s="555"/>
      <c r="H140" s="149" t="s">
        <v>12</v>
      </c>
      <c r="I140" s="162"/>
      <c r="J140" s="162"/>
      <c r="K140" s="163"/>
      <c r="L140" s="152">
        <f t="shared" ref="L140:N140" ca="1" si="64">L141+L142</f>
        <v>97500</v>
      </c>
      <c r="M140" s="152">
        <f t="shared" ca="1" si="64"/>
        <v>69625</v>
      </c>
      <c r="N140" s="152">
        <f t="shared" ca="1" si="64"/>
        <v>57120</v>
      </c>
      <c r="O140" s="151">
        <f t="shared" ref="O140:O142" ca="1" si="65">IF(L140&gt;0,N140*100/L140,0)</f>
        <v>58.584615384615383</v>
      </c>
      <c r="P140" s="151">
        <f t="shared" ref="P140:P142" ca="1" si="66">IF(M140&gt;0,N140*100/M140,0)</f>
        <v>82.039497307001795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97500</v>
      </c>
      <c r="M142" s="157">
        <f t="shared" ca="1" si="68"/>
        <v>69625</v>
      </c>
      <c r="N142" s="157">
        <f t="shared" ca="1" si="68"/>
        <v>57120</v>
      </c>
      <c r="O142" s="156">
        <f t="shared" ca="1" si="65"/>
        <v>58.584615384615383</v>
      </c>
      <c r="P142" s="156">
        <f t="shared" ca="1" si="66"/>
        <v>82.039497307001795</v>
      </c>
    </row>
    <row r="143" spans="1:16" ht="21.75" customHeight="1" x14ac:dyDescent="0.45">
      <c r="A143" s="158"/>
      <c r="B143" s="159"/>
      <c r="C143" s="159" t="s">
        <v>16</v>
      </c>
      <c r="D143" s="552" t="s">
        <v>20</v>
      </c>
      <c r="E143" s="553"/>
      <c r="F143" s="55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97500</v>
      </c>
      <c r="M144" s="537">
        <f ca="1">IFERROR(__xludf.DUMMYFUNCTION("IMPORTRANGE(""https://docs.google.com/spreadsheets/d/1Yj_ptqi66GCucihVvJfMjLAmec39IyEx_6qawtMGysU/edit?usp=sharing"",""สบก!BJ45"")"),69625)</f>
        <v>69625</v>
      </c>
      <c r="N144" s="538">
        <f ca="1">IFERROR(__xludf.DUMMYFUNCTION("IMPORTRANGE(""https://docs.google.com/spreadsheets/d/1Yj_ptqi66GCucihVvJfMjLAmec39IyEx_6qawtMGysU/edit?usp=sharing"",""สบก!BK45"")"),57120)</f>
        <v>57120</v>
      </c>
      <c r="O144" s="169">
        <f ca="1">IF(L144&gt;0,N144*100/L144,0)</f>
        <v>58.584615384615383</v>
      </c>
      <c r="P144" s="169">
        <f ca="1">IF(M144&gt;0,N144*100/M144,0)</f>
        <v>82.039497307001795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537">
        <f ca="1">IFERROR(__xludf.DUMMYFUNCTION("IMPORTRANGE(""https://docs.google.com/spreadsheets/d/1Yj_ptqi66GCucihVvJfMjLAmec39IyEx_6qawtMGysU/edit?usp=sharing"",""สบก!BF45"")"),0)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537">
        <f ca="1">IFERROR(__xludf.DUMMYFUNCTION("IMPORTRANGE(""https://docs.google.com/spreadsheets/d/1Yj_ptqi66GCucihVvJfMjLAmec39IyEx_6qawtMGysU/edit?usp=sharing"",""สบก!BG45"")"),97500)</f>
        <v>97500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52" t="s">
        <v>23</v>
      </c>
      <c r="E147" s="553"/>
      <c r="F147" s="89"/>
      <c r="G147" s="82" t="s">
        <v>18</v>
      </c>
      <c r="H147" s="172" t="s">
        <v>12</v>
      </c>
      <c r="I147" s="188"/>
      <c r="J147" s="188"/>
      <c r="K147" s="224"/>
      <c r="L147" s="535">
        <v>0</v>
      </c>
      <c r="M147" s="535"/>
      <c r="N147" s="41"/>
      <c r="O147" s="535"/>
      <c r="P147" s="535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533">
        <f ca="1">IFERROR(__xludf.DUMMYFUNCTION("IMPORTRANGE(""https://docs.google.com/spreadsheets/d/1Yj_ptqi66GCucihVvJfMjLAmec39IyEx_6qawtMGysU/edit?usp=sharing"",""สบก!BH45"")"),0)</f>
        <v>0</v>
      </c>
      <c r="M148" s="536"/>
      <c r="N148" s="533">
        <f ca="1">IFERROR(__xludf.DUMMYFUNCTION("IMPORTRANGE(""https://docs.google.com/spreadsheets/d/1Yj_ptqi66GCucihVvJfMjLAmec39IyEx_6qawtMGysU/edit?usp=sharing"",""สบก!BL45"")"),0)</f>
        <v>0</v>
      </c>
      <c r="O148" s="536">
        <f ca="1">IF(L148&gt;0,N148*100/L148,0)</f>
        <v>0</v>
      </c>
      <c r="P148" s="536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IFERROR(__xludf.DUMMYFUNCTION("IMPORTRANGE(""https://docs.google.com/spreadsheets/d/1XL5vhW3sbDhbH9Cz0tuDiY8C3ctxq1tqvaCgkFb8cCA/edit?usp=sharing"",""มหาสารคาม!I74"")"),4)</f>
        <v>4</v>
      </c>
      <c r="J149" s="275">
        <f ca="1">IFERROR(__xludf.DUMMYFUNCTION("IMPORTRANGE(""https://docs.google.com/spreadsheets/d/1XL5vhW3sbDhbH9Cz0tuDiY8C3ctxq1tqvaCgkFb8cCA/edit?usp=sharing"",""มหาสารคาม!J74"")"),2)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IFERROR(__xludf.DUMMYFUNCTION("IMPORTRANGE(""https://docs.google.com/spreadsheets/d/1XL5vhW3sbDhbH9Cz0tuDiY8C3ctxq1tqvaCgkFb8cCA/edit?usp=sharing"",""มหาสารคาม!J79"")"),0)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IFERROR(__xludf.DUMMYFUNCTION("IMPORTRANGE(""https://docs.google.com/spreadsheets/d/1XL5vhW3sbDhbH9Cz0tuDiY8C3ctxq1tqvaCgkFb8cCA/edit?usp=sharing"",""มหาสารคาม!J80"")"),1)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IFERROR(__xludf.DUMMYFUNCTION("IMPORTRANGE(""https://docs.google.com/spreadsheets/d/1XL5vhW3sbDhbH9Cz0tuDiY8C3ctxq1tqvaCgkFb8cCA/edit?usp=sharing"",""มหาสารคาม!J81"")"),1)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IFERROR(__xludf.DUMMYFUNCTION("IMPORTRANGE(""https://docs.google.com/spreadsheets/d/1XL5vhW3sbDhbH9Cz0tuDiY8C3ctxq1tqvaCgkFb8cCA/edit?usp=sharing"",""มหาสารคาม!J82"")"),1)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IFERROR(__xludf.DUMMYFUNCTION("IMPORTRANGE(""https://docs.google.com/spreadsheets/d/1XL5vhW3sbDhbH9Cz0tuDiY8C3ctxq1tqvaCgkFb8cCA/edit?usp=sharing"",""มหาสารคาม!I83"")"),4)</f>
        <v>4</v>
      </c>
      <c r="J158" s="189">
        <f ca="1">IFERROR(__xludf.DUMMYFUNCTION("IMPORTRANGE(""https://docs.google.com/spreadsheets/d/1XL5vhW3sbDhbH9Cz0tuDiY8C3ctxq1tqvaCgkFb8cCA/edit?usp=sharing"",""มหาสารคาม!J83"")"),2)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IFERROR(__xludf.DUMMYFUNCTION("IMPORTRANGE(""https://docs.google.com/spreadsheets/d/1XL5vhW3sbDhbH9Cz0tuDiY8C3ctxq1tqvaCgkFb8cCA/edit?usp=sharing"",""มหาสารคาม!J84"")"),43)</f>
        <v>43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IFERROR(__xludf.DUMMYFUNCTION("IMPORTRANGE(""https://docs.google.com/spreadsheets/d/1XL5vhW3sbDhbH9Cz0tuDiY8C3ctxq1tqvaCgkFb8cCA/edit?usp=sharing"",""มหาสารคาม!J85"")"),43)</f>
        <v>43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IFERROR(__xludf.DUMMYFUNCTION("IMPORTRANGE(""https://docs.google.com/spreadsheets/d/1XL5vhW3sbDhbH9Cz0tuDiY8C3ctxq1tqvaCgkFb8cCA/edit?usp=sharing"",""มหาสารคาม!J86"")"),0)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IFERROR(__xludf.DUMMYFUNCTION("IMPORTRANGE(""https://docs.google.com/spreadsheets/d/1XL5vhW3sbDhbH9Cz0tuDiY8C3ctxq1tqvaCgkFb8cCA/edit?usp=sharing"",""มหาสารคาม!J87"")"),0)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IFERROR(__xludf.DUMMYFUNCTION("IMPORTRANGE(""https://docs.google.com/spreadsheets/d/1XL5vhW3sbDhbH9Cz0tuDiY8C3ctxq1tqvaCgkFb8cCA/edit?usp=sharing"",""มหาสารคาม!J88"")"),0)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IFERROR(__xludf.DUMMYFUNCTION("IMPORTRANGE(""https://docs.google.com/spreadsheets/d/1XL5vhW3sbDhbH9Cz0tuDiY8C3ctxq1tqvaCgkFb8cCA/edit?usp=sharing"",""มหาสารคาม!I89"")"),4)</f>
        <v>4</v>
      </c>
      <c r="J164" s="284">
        <f ca="1">IFERROR(__xludf.DUMMYFUNCTION("IMPORTRANGE(""https://docs.google.com/spreadsheets/d/1XL5vhW3sbDhbH9Cz0tuDiY8C3ctxq1tqvaCgkFb8cCA/edit?usp=sharing"",""มหาสารคาม!J89"")"),2)</f>
        <v>2</v>
      </c>
      <c r="K164" s="285">
        <f ca="1">IF(I164&gt;0,J164*100/I164,0)</f>
        <v>50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IFERROR(__xludf.DUMMYFUNCTION("IMPORTRANGE(""https://docs.google.com/spreadsheets/d/1XL5vhW3sbDhbH9Cz0tuDiY8C3ctxq1tqvaCgkFb8cCA/edit?usp=sharing"",""มหาสารคาม!J94"")"),0)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IFERROR(__xludf.DUMMYFUNCTION("IMPORTRANGE(""https://docs.google.com/spreadsheets/d/1XL5vhW3sbDhbH9Cz0tuDiY8C3ctxq1tqvaCgkFb8cCA/edit?usp=sharing"",""มหาสารคาม!J95"")"),1)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IFERROR(__xludf.DUMMYFUNCTION("IMPORTRANGE(""https://docs.google.com/spreadsheets/d/1XL5vhW3sbDhbH9Cz0tuDiY8C3ctxq1tqvaCgkFb8cCA/edit?usp=sharing"",""มหาสารคาม!J96"")"),1)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IFERROR(__xludf.DUMMYFUNCTION("IMPORTRANGE(""https://docs.google.com/spreadsheets/d/1XL5vhW3sbDhbH9Cz0tuDiY8C3ctxq1tqvaCgkFb8cCA/edit?usp=sharing"",""มหาสารคาม!J97"")"),0)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IFERROR(__xludf.DUMMYFUNCTION("IMPORTRANGE(""https://docs.google.com/spreadsheets/d/1XL5vhW3sbDhbH9Cz0tuDiY8C3ctxq1tqvaCgkFb8cCA/edit?usp=sharing"",""มหาสารคาม!I98"")"),4)</f>
        <v>4</v>
      </c>
      <c r="J173" s="189">
        <f ca="1">IFERROR(__xludf.DUMMYFUNCTION("IMPORTRANGE(""https://docs.google.com/spreadsheets/d/1XL5vhW3sbDhbH9Cz0tuDiY8C3ctxq1tqvaCgkFb8cCA/edit?usp=sharing"",""มหาสารคาม!J98"")"),2)</f>
        <v>2</v>
      </c>
      <c r="K173" s="163">
        <f ca="1">IF(I173&gt;0,J173*100/I173,0)</f>
        <v>50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IFERROR(__xludf.DUMMYFUNCTION("IMPORTRANGE(""https://docs.google.com/spreadsheets/d/1XL5vhW3sbDhbH9Cz0tuDiY8C3ctxq1tqvaCgkFb8cCA/edit?usp=sharing"",""มหาสารคาม!J99"")"),0)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IFERROR(__xludf.DUMMYFUNCTION("IMPORTRANGE(""https://docs.google.com/spreadsheets/d/1XL5vhW3sbDhbH9Cz0tuDiY8C3ctxq1tqvaCgkFb8cCA/edit?usp=sharing"",""มหาสารคาม!J100"")"),0)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IFERROR(__xludf.DUMMYFUNCTION("IMPORTRANGE(""https://docs.google.com/spreadsheets/d/1XL5vhW3sbDhbH9Cz0tuDiY8C3ctxq1tqvaCgkFb8cCA/edit?usp=sharing"",""มหาสารคาม!I101"")"),0)</f>
        <v>0</v>
      </c>
      <c r="J176" s="284">
        <f ca="1">IFERROR(__xludf.DUMMYFUNCTION("IMPORTRANGE(""https://docs.google.com/spreadsheets/d/1XL5vhW3sbDhbH9Cz0tuDiY8C3ctxq1tqvaCgkFb8cCA/edit?usp=sharing"",""มหาสารคาม!J101"")"),0)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IFERROR(__xludf.DUMMYFUNCTION("IMPORTRANGE(""https://docs.google.com/spreadsheets/d/1XL5vhW3sbDhbH9Cz0tuDiY8C3ctxq1tqvaCgkFb8cCA/edit?usp=sharing"",""มหาสารคาม!J106"")"),0)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IFERROR(__xludf.DUMMYFUNCTION("IMPORTRANGE(""https://docs.google.com/spreadsheets/d/1XL5vhW3sbDhbH9Cz0tuDiY8C3ctxq1tqvaCgkFb8cCA/edit?usp=sharing"",""มหาสารคาม!J107"")"),0)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IFERROR(__xludf.DUMMYFUNCTION("IMPORTRANGE(""https://docs.google.com/spreadsheets/d/1XL5vhW3sbDhbH9Cz0tuDiY8C3ctxq1tqvaCgkFb8cCA/edit?usp=sharing"",""มหาสารคาม!J108"")"),0)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IFERROR(__xludf.DUMMYFUNCTION("IMPORTRANGE(""https://docs.google.com/spreadsheets/d/1XL5vhW3sbDhbH9Cz0tuDiY8C3ctxq1tqvaCgkFb8cCA/edit?usp=sharing"",""มหาสารคาม!J109"")"),0)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IFERROR(__xludf.DUMMYFUNCTION("IMPORTRANGE(""https://docs.google.com/spreadsheets/d/1XL5vhW3sbDhbH9Cz0tuDiY8C3ctxq1tqvaCgkFb8cCA/edit?usp=sharing"",""มหาสารคาม!I110"")"),0)</f>
        <v>0</v>
      </c>
      <c r="J185" s="204">
        <f ca="1">IFERROR(__xludf.DUMMYFUNCTION("IMPORTRANGE(""https://docs.google.com/spreadsheets/d/1XL5vhW3sbDhbH9Cz0tuDiY8C3ctxq1tqvaCgkFb8cCA/edit?usp=sharing"",""มหาสารคาม!J110"")"),0)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IFERROR(__xludf.DUMMYFUNCTION("IMPORTRANGE(""https://docs.google.com/spreadsheets/d/1XL5vhW3sbDhbH9Cz0tuDiY8C3ctxq1tqvaCgkFb8cCA/edit?usp=sharing"",""มหาสารคาม!I111"")"),0)</f>
        <v>0</v>
      </c>
      <c r="J186" s="204">
        <f ca="1">IFERROR(__xludf.DUMMYFUNCTION("IMPORTRANGE(""https://docs.google.com/spreadsheets/d/1XL5vhW3sbDhbH9Cz0tuDiY8C3ctxq1tqvaCgkFb8cCA/edit?usp=sharing"",""มหาสารคาม!J111"")"),0)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IFERROR(__xludf.DUMMYFUNCTION("IMPORTRANGE(""https://docs.google.com/spreadsheets/d/1XL5vhW3sbDhbH9Cz0tuDiY8C3ctxq1tqvaCgkFb8cCA/edit?usp=sharing"",""มหาสารคาม!J112"")"),0)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IFERROR(__xludf.DUMMYFUNCTION("IMPORTRANGE(""https://docs.google.com/spreadsheets/d/1XL5vhW3sbDhbH9Cz0tuDiY8C3ctxq1tqvaCgkFb8cCA/edit?usp=sharing"",""มหาสารคาม!J113"")"),0)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IFERROR(__xludf.DUMMYFUNCTION("IMPORTRANGE(""https://docs.google.com/spreadsheets/d/1XL5vhW3sbDhbH9Cz0tuDiY8C3ctxq1tqvaCgkFb8cCA/edit?usp=sharing"",""มหาสารคาม!I114"")"),100000)</f>
        <v>100000</v>
      </c>
      <c r="J189" s="284">
        <f ca="1">IFERROR(__xludf.DUMMYFUNCTION("IMPORTRANGE(""https://docs.google.com/spreadsheets/d/1XL5vhW3sbDhbH9Cz0tuDiY8C3ctxq1tqvaCgkFb8cCA/edit?usp=sharing"",""มหาสารคาม!J114"")"),0)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IFERROR(__xludf.DUMMYFUNCTION("IMPORTRANGE(""https://docs.google.com/spreadsheets/d/1XL5vhW3sbDhbH9Cz0tuDiY8C3ctxq1tqvaCgkFb8cCA/edit?usp=sharing"",""มหาสารคาม!J119"")"),0)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IFERROR(__xludf.DUMMYFUNCTION("IMPORTRANGE(""https://docs.google.com/spreadsheets/d/1XL5vhW3sbDhbH9Cz0tuDiY8C3ctxq1tqvaCgkFb8cCA/edit?usp=sharing"",""มหาสารคาม!J120"")"),1)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IFERROR(__xludf.DUMMYFUNCTION("IMPORTRANGE(""https://docs.google.com/spreadsheets/d/1XL5vhW3sbDhbH9Cz0tuDiY8C3ctxq1tqvaCgkFb8cCA/edit?usp=sharing"",""มหาสารคาม!J121"")"),1)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IFERROR(__xludf.DUMMYFUNCTION("IMPORTRANGE(""https://docs.google.com/spreadsheets/d/1XL5vhW3sbDhbH9Cz0tuDiY8C3ctxq1tqvaCgkFb8cCA/edit?usp=sharing"",""มหาสารคาม!J122"")"),0)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IFERROR(__xludf.DUMMYFUNCTION("IMPORTRANGE(""https://docs.google.com/spreadsheets/d/1XL5vhW3sbDhbH9Cz0tuDiY8C3ctxq1tqvaCgkFb8cCA/edit?usp=sharing"",""มหาสารคาม!I124"")"),100000)</f>
        <v>100000</v>
      </c>
      <c r="J199" s="189">
        <f ca="1">IFERROR(__xludf.DUMMYFUNCTION("IMPORTRANGE(""https://docs.google.com/spreadsheets/d/1XL5vhW3sbDhbH9Cz0tuDiY8C3ctxq1tqvaCgkFb8cCA/edit?usp=sharing"",""มหาสารคาม!J124"")"),0)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IFERROR(__xludf.DUMMYFUNCTION("IMPORTRANGE(""https://docs.google.com/spreadsheets/d/1XL5vhW3sbDhbH9Cz0tuDiY8C3ctxq1tqvaCgkFb8cCA/edit?usp=sharing"",""มหาสารคาม!I125"")"),100000)</f>
        <v>100000</v>
      </c>
      <c r="J200" s="189">
        <f ca="1">IFERROR(__xludf.DUMMYFUNCTION("IMPORTRANGE(""https://docs.google.com/spreadsheets/d/1XL5vhW3sbDhbH9Cz0tuDiY8C3ctxq1tqvaCgkFb8cCA/edit?usp=sharing"",""มหาสารคาม!J125"")"),0)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IFERROR(__xludf.DUMMYFUNCTION("IMPORTRANGE(""https://docs.google.com/spreadsheets/d/1XL5vhW3sbDhbH9Cz0tuDiY8C3ctxq1tqvaCgkFb8cCA/edit?usp=sharing"",""มหาสารคาม!I126"")"),0)</f>
        <v>0</v>
      </c>
      <c r="J201" s="189">
        <f ca="1">IFERROR(__xludf.DUMMYFUNCTION("IMPORTRANGE(""https://docs.google.com/spreadsheets/d/1XL5vhW3sbDhbH9Cz0tuDiY8C3ctxq1tqvaCgkFb8cCA/edit?usp=sharing"",""มหาสารคาม!J126"")"),0)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IFERROR(__xludf.DUMMYFUNCTION("IMPORTRANGE(""https://docs.google.com/spreadsheets/d/1XL5vhW3sbDhbH9Cz0tuDiY8C3ctxq1tqvaCgkFb8cCA/edit?usp=sharing"",""มหาสารคาม!J127"")"),0)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IFERROR(__xludf.DUMMYFUNCTION("IMPORTRANGE(""https://docs.google.com/spreadsheets/d/1XL5vhW3sbDhbH9Cz0tuDiY8C3ctxq1tqvaCgkFb8cCA/edit?usp=sharing"",""มหาสารคาม!J128"")"),0)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IFERROR(__xludf.DUMMYFUNCTION("IMPORTRANGE(""https://docs.google.com/spreadsheets/d/1XL5vhW3sbDhbH9Cz0tuDiY8C3ctxq1tqvaCgkFb8cCA/edit?usp=sharing"",""มหาสารคาม!I129"")"),0)</f>
        <v>0</v>
      </c>
      <c r="J204" s="284">
        <f ca="1">IFERROR(__xludf.DUMMYFUNCTION("IMPORTRANGE(""https://docs.google.com/spreadsheets/d/1XL5vhW3sbDhbH9Cz0tuDiY8C3ctxq1tqvaCgkFb8cCA/edit?usp=sharing"",""มหาสารคาม!J129"")"),0)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IFERROR(__xludf.DUMMYFUNCTION("IMPORTRANGE(""https://docs.google.com/spreadsheets/d/1XL5vhW3sbDhbH9Cz0tuDiY8C3ctxq1tqvaCgkFb8cCA/edit?usp=sharing"",""มหาสารคาม!J134"")"),0)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IFERROR(__xludf.DUMMYFUNCTION("IMPORTRANGE(""https://docs.google.com/spreadsheets/d/1XL5vhW3sbDhbH9Cz0tuDiY8C3ctxq1tqvaCgkFb8cCA/edit?usp=sharing"",""มหาสารคาม!J135"")"),0)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IFERROR(__xludf.DUMMYFUNCTION("IMPORTRANGE(""https://docs.google.com/spreadsheets/d/1XL5vhW3sbDhbH9Cz0tuDiY8C3ctxq1tqvaCgkFb8cCA/edit?usp=sharing"",""มหาสารคาม!J136"")"),0)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IFERROR(__xludf.DUMMYFUNCTION("IMPORTRANGE(""https://docs.google.com/spreadsheets/d/1XL5vhW3sbDhbH9Cz0tuDiY8C3ctxq1tqvaCgkFb8cCA/edit?usp=sharing"",""มหาสารคาม!J137"")"),0)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IFERROR(__xludf.DUMMYFUNCTION("IMPORTRANGE(""https://docs.google.com/spreadsheets/d/1XL5vhW3sbDhbH9Cz0tuDiY8C3ctxq1tqvaCgkFb8cCA/edit?usp=sharing"",""มหาสารคาม!I138"")"),0)</f>
        <v>0</v>
      </c>
      <c r="J213" s="204">
        <f ca="1">IFERROR(__xludf.DUMMYFUNCTION("IMPORTRANGE(""https://docs.google.com/spreadsheets/d/1XL5vhW3sbDhbH9Cz0tuDiY8C3ctxq1tqvaCgkFb8cCA/edit?usp=sharing"",""มหาสารคาม!J138"")"),0)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IFERROR(__xludf.DUMMYFUNCTION("IMPORTRANGE(""https://docs.google.com/spreadsheets/d/1XL5vhW3sbDhbH9Cz0tuDiY8C3ctxq1tqvaCgkFb8cCA/edit?usp=sharing"",""มหาสารคาม!I140"")"),0)</f>
        <v>0</v>
      </c>
      <c r="J215" s="204">
        <f ca="1">IFERROR(__xludf.DUMMYFUNCTION("IMPORTRANGE(""https://docs.google.com/spreadsheets/d/1XL5vhW3sbDhbH9Cz0tuDiY8C3ctxq1tqvaCgkFb8cCA/edit?usp=sharing"",""มหาสารคาม!J140"")"),0)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IFERROR(__xludf.DUMMYFUNCTION("IMPORTRANGE(""https://docs.google.com/spreadsheets/d/1XL5vhW3sbDhbH9Cz0tuDiY8C3ctxq1tqvaCgkFb8cCA/edit?usp=sharing"",""มหาสารคาม!I141"")"),0)</f>
        <v>0</v>
      </c>
      <c r="J216" s="204">
        <f ca="1">IFERROR(__xludf.DUMMYFUNCTION("IMPORTRANGE(""https://docs.google.com/spreadsheets/d/1XL5vhW3sbDhbH9Cz0tuDiY8C3ctxq1tqvaCgkFb8cCA/edit?usp=sharing"",""มหาสารคาม!J141"")"),0)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IFERROR(__xludf.DUMMYFUNCTION("IMPORTRANGE(""https://docs.google.com/spreadsheets/d/1XL5vhW3sbDhbH9Cz0tuDiY8C3ctxq1tqvaCgkFb8cCA/edit?usp=sharing"",""มหาสารคาม!J142"")"),0)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IFERROR(__xludf.DUMMYFUNCTION("IMPORTRANGE(""https://docs.google.com/spreadsheets/d/1XL5vhW3sbDhbH9Cz0tuDiY8C3ctxq1tqvaCgkFb8cCA/edit?usp=sharing"",""มหาสารคาม!J143"")"),0)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IFERROR(__xludf.DUMMYFUNCTION("IMPORTRANGE(""https://docs.google.com/spreadsheets/d/1XL5vhW3sbDhbH9Cz0tuDiY8C3ctxq1tqvaCgkFb8cCA/edit?usp=sharing"",""มหาสารคาม!I144"")"),14)</f>
        <v>14</v>
      </c>
      <c r="J219" s="267">
        <f ca="1">IFERROR(__xludf.DUMMYFUNCTION("IMPORTRANGE(""https://docs.google.com/spreadsheets/d/1XL5vhW3sbDhbH9Cz0tuDiY8C3ctxq1tqvaCgkFb8cCA/edit?usp=sharing"",""มหาสารคาม!J144"")"),14)</f>
        <v>14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54" t="s">
        <v>17</v>
      </c>
      <c r="E220" s="555"/>
      <c r="F220" s="555"/>
      <c r="G220" s="555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52" t="s">
        <v>20</v>
      </c>
      <c r="E223" s="553"/>
      <c r="F223" s="55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537">
        <f ca="1">IFERROR(__xludf.DUMMYFUNCTION("IMPORTRANGE(""https://docs.google.com/spreadsheets/d/1Yj_ptqi66GCucihVvJfMjLAmec39IyEx_6qawtMGysU/edit?usp=sharing"",""สบก!BS45"")"),20210)</f>
        <v>20210</v>
      </c>
      <c r="N224" s="538">
        <f ca="1">IFERROR(__xludf.DUMMYFUNCTION("IMPORTRANGE(""https://docs.google.com/spreadsheets/d/1Yj_ptqi66GCucihVvJfMjLAmec39IyEx_6qawtMGysU/edit?usp=sharing"",""สบก!BT45"")"),20210)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537">
        <f ca="1">IFERROR(__xludf.DUMMYFUNCTION("IMPORTRANGE(""https://docs.google.com/spreadsheets/d/1Yj_ptqi66GCucihVvJfMjLAmec39IyEx_6qawtMGysU/edit?usp=sharing"",""สบก!BO45"")"),0)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537">
        <f ca="1">IFERROR(__xludf.DUMMYFUNCTION("IMPORTRANGE(""https://docs.google.com/spreadsheets/d/1Yj_ptqi66GCucihVvJfMjLAmec39IyEx_6qawtMGysU/edit?usp=sharing"",""สบก!BP45"")"),20210)</f>
        <v>20210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52" t="s">
        <v>23</v>
      </c>
      <c r="E227" s="553"/>
      <c r="F227" s="89"/>
      <c r="G227" s="82" t="s">
        <v>18</v>
      </c>
      <c r="H227" s="172" t="s">
        <v>12</v>
      </c>
      <c r="I227" s="201"/>
      <c r="J227" s="201"/>
      <c r="K227" s="290"/>
      <c r="L227" s="535">
        <v>0</v>
      </c>
      <c r="M227" s="535"/>
      <c r="N227" s="41"/>
      <c r="O227" s="535"/>
      <c r="P227" s="535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533">
        <f ca="1">IFERROR(__xludf.DUMMYFUNCTION("IMPORTRANGE(""https://docs.google.com/spreadsheets/d/1Yj_ptqi66GCucihVvJfMjLAmec39IyEx_6qawtMGysU/edit?usp=sharing"",""สบก!BQ45"")"),0)</f>
        <v>0</v>
      </c>
      <c r="M228" s="536"/>
      <c r="N228" s="533">
        <f ca="1">IFERROR(__xludf.DUMMYFUNCTION("IMPORTRANGE(""https://docs.google.com/spreadsheets/d/1Yj_ptqi66GCucihVvJfMjLAmec39IyEx_6qawtMGysU/edit?usp=sharing"",""สบก!BU45"")"),0)</f>
        <v>0</v>
      </c>
      <c r="O228" s="536">
        <f ca="1">IF(L228&gt;0,N228*100/L228,0)</f>
        <v>0</v>
      </c>
      <c r="P228" s="536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IFERROR(__xludf.DUMMYFUNCTION("IMPORTRANGE(""https://docs.google.com/spreadsheets/d/1XL5vhW3sbDhbH9Cz0tuDiY8C3ctxq1tqvaCgkFb8cCA/edit?usp=sharing"",""มหาสารคาม!I149"")"),14)</f>
        <v>14</v>
      </c>
      <c r="J229" s="267">
        <f ca="1">IFERROR(__xludf.DUMMYFUNCTION("IMPORTRANGE(""https://docs.google.com/spreadsheets/d/1XL5vhW3sbDhbH9Cz0tuDiY8C3ctxq1tqvaCgkFb8cCA/edit?usp=sharing"",""มหาสารคาม!J149"")"),14)</f>
        <v>14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IFERROR(__xludf.DUMMYFUNCTION("IMPORTRANGE(""https://docs.google.com/spreadsheets/d/1XL5vhW3sbDhbH9Cz0tuDiY8C3ctxq1tqvaCgkFb8cCA/edit?usp=sharing"",""มหาสารคาม!J151"")"),0)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IFERROR(__xludf.DUMMYFUNCTION("IMPORTRANGE(""https://docs.google.com/spreadsheets/d/1XL5vhW3sbDhbH9Cz0tuDiY8C3ctxq1tqvaCgkFb8cCA/edit?usp=sharing"",""มหาสารคาม!J152"")"),1)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IFERROR(__xludf.DUMMYFUNCTION("IMPORTRANGE(""https://docs.google.com/spreadsheets/d/1XL5vhW3sbDhbH9Cz0tuDiY8C3ctxq1tqvaCgkFb8cCA/edit?usp=sharing"",""มหาสารคาม!J153"")"),1)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IFERROR(__xludf.DUMMYFUNCTION("IMPORTRANGE(""https://docs.google.com/spreadsheets/d/1XL5vhW3sbDhbH9Cz0tuDiY8C3ctxq1tqvaCgkFb8cCA/edit?usp=sharing"",""มหาสารคาม!J154"")"),1)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IFERROR(__xludf.DUMMYFUNCTION("IMPORTRANGE(""https://docs.google.com/spreadsheets/d/1XL5vhW3sbDhbH9Cz0tuDiY8C3ctxq1tqvaCgkFb8cCA/edit?usp=sharing"",""มหาสารคาม!I155"")"),14)</f>
        <v>14</v>
      </c>
      <c r="J235" s="189">
        <f ca="1">IFERROR(__xludf.DUMMYFUNCTION("IMPORTRANGE(""https://docs.google.com/spreadsheets/d/1XL5vhW3sbDhbH9Cz0tuDiY8C3ctxq1tqvaCgkFb8cCA/edit?usp=sharing"",""มหาสารคาม!J155"")"),14)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IFERROR(__xludf.DUMMYFUNCTION("IMPORTRANGE(""https://docs.google.com/spreadsheets/d/1XL5vhW3sbDhbH9Cz0tuDiY8C3ctxq1tqvaCgkFb8cCA/edit?usp=sharing"",""มหาสารคาม!J156"")"),0)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IFERROR(__xludf.DUMMYFUNCTION("IMPORTRANGE(""https://docs.google.com/spreadsheets/d/1XL5vhW3sbDhbH9Cz0tuDiY8C3ctxq1tqvaCgkFb8cCA/edit?usp=sharing"",""มหาสารคาม!J157"")"),0)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IFERROR(__xludf.DUMMYFUNCTION("IMPORTRANGE(""https://docs.google.com/spreadsheets/d/1XL5vhW3sbDhbH9Cz0tuDiY8C3ctxq1tqvaCgkFb8cCA/edit?usp=sharing"",""มหาสารคาม!I158"")"),0)</f>
        <v>0</v>
      </c>
      <c r="J238" s="267">
        <f ca="1">IFERROR(__xludf.DUMMYFUNCTION("IMPORTRANGE(""https://docs.google.com/spreadsheets/d/1XL5vhW3sbDhbH9Cz0tuDiY8C3ctxq1tqvaCgkFb8cCA/edit?usp=sharing"",""มหาสารคาม!J158"")"),0)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IFERROR(__xludf.DUMMYFUNCTION("IMPORTRANGE(""https://docs.google.com/spreadsheets/d/1XL5vhW3sbDhbH9Cz0tuDiY8C3ctxq1tqvaCgkFb8cCA/edit?usp=sharing"",""มหาสารคาม!J159"")"),"")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IFERROR(__xludf.DUMMYFUNCTION("IMPORTRANGE(""https://docs.google.com/spreadsheets/d/1XL5vhW3sbDhbH9Cz0tuDiY8C3ctxq1tqvaCgkFb8cCA/edit?usp=sharing"",""มหาสารคาม!J161"")"),0)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IFERROR(__xludf.DUMMYFUNCTION("IMPORTRANGE(""https://docs.google.com/spreadsheets/d/1XL5vhW3sbDhbH9Cz0tuDiY8C3ctxq1tqvaCgkFb8cCA/edit?usp=sharing"",""มหาสารคาม!J162"")"),0)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IFERROR(__xludf.DUMMYFUNCTION("IMPORTRANGE(""https://docs.google.com/spreadsheets/d/1XL5vhW3sbDhbH9Cz0tuDiY8C3ctxq1tqvaCgkFb8cCA/edit?usp=sharing"",""มหาสารคาม!J163"")"),0)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IFERROR(__xludf.DUMMYFUNCTION("IMPORTRANGE(""https://docs.google.com/spreadsheets/d/1XL5vhW3sbDhbH9Cz0tuDiY8C3ctxq1tqvaCgkFb8cCA/edit?usp=sharing"",""มหาสารคาม!I164"")"),0)</f>
        <v>0</v>
      </c>
      <c r="J244" s="188">
        <f ca="1">IFERROR(__xludf.DUMMYFUNCTION("IMPORTRANGE(""https://docs.google.com/spreadsheets/d/1XL5vhW3sbDhbH9Cz0tuDiY8C3ctxq1tqvaCgkFb8cCA/edit?usp=sharing"",""มหาสารคาม!J164"")"),0)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IFERROR(__xludf.DUMMYFUNCTION("IMPORTRANGE(""https://docs.google.com/spreadsheets/d/1XL5vhW3sbDhbH9Cz0tuDiY8C3ctxq1tqvaCgkFb8cCA/edit?usp=sharing"",""มหาสารคาม!J165"")"),0)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IFERROR(__xludf.DUMMYFUNCTION("IMPORTRANGE(""https://docs.google.com/spreadsheets/d/1XL5vhW3sbDhbH9Cz0tuDiY8C3ctxq1tqvaCgkFb8cCA/edit?usp=sharing"",""มหาสารคาม!J166"")"),0)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IFERROR(__xludf.DUMMYFUNCTION("IMPORTRANGE(""https://docs.google.com/spreadsheets/d/1XL5vhW3sbDhbH9Cz0tuDiY8C3ctxq1tqvaCgkFb8cCA/edit?usp=sharing"",""มหาสารคาม!I169"")"),0)</f>
        <v>0</v>
      </c>
      <c r="J249" s="316">
        <f ca="1">IFERROR(__xludf.DUMMYFUNCTION("IMPORTRANGE(""https://docs.google.com/spreadsheets/d/1XL5vhW3sbDhbH9Cz0tuDiY8C3ctxq1tqvaCgkFb8cCA/edit?usp=sharing"",""มหาสารคาม!J169"")"),0)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54" t="s">
        <v>17</v>
      </c>
      <c r="E250" s="555"/>
      <c r="F250" s="555"/>
      <c r="G250" s="55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52" t="s">
        <v>20</v>
      </c>
      <c r="E253" s="553"/>
      <c r="F253" s="55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537">
        <f ca="1">IFERROR(__xludf.DUMMYFUNCTION("IMPORTRANGE(""https://docs.google.com/spreadsheets/d/1Yj_ptqi66GCucihVvJfMjLAmec39IyEx_6qawtMGysU/edit?usp=sharing"",""สบก!CB45"")"),0)</f>
        <v>0</v>
      </c>
      <c r="N254" s="538">
        <f ca="1">IFERROR(__xludf.DUMMYFUNCTION("IMPORTRANGE(""https://docs.google.com/spreadsheets/d/1Yj_ptqi66GCucihVvJfMjLAmec39IyEx_6qawtMGysU/edit?usp=sharing"",""สบก!CC45"")"),0)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537">
        <f ca="1">IFERROR(__xludf.DUMMYFUNCTION("IMPORTRANGE(""https://docs.google.com/spreadsheets/d/1Yj_ptqi66GCucihVvJfMjLAmec39IyEx_6qawtMGysU/edit?usp=sharing"",""สบก!BX45"")"),0)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537">
        <f ca="1">IFERROR(__xludf.DUMMYFUNCTION("IMPORTRANGE(""https://docs.google.com/spreadsheets/d/1Yj_ptqi66GCucihVvJfMjLAmec39IyEx_6qawtMGysU/edit?usp=sharing"",""สบก!BY45"")"),0)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52" t="s">
        <v>23</v>
      </c>
      <c r="E257" s="553"/>
      <c r="F257" s="89"/>
      <c r="G257" s="82" t="s">
        <v>18</v>
      </c>
      <c r="H257" s="172" t="s">
        <v>12</v>
      </c>
      <c r="I257" s="162"/>
      <c r="J257" s="162"/>
      <c r="K257" s="163"/>
      <c r="L257" s="535">
        <v>0</v>
      </c>
      <c r="M257" s="535"/>
      <c r="N257" s="41"/>
      <c r="O257" s="535"/>
      <c r="P257" s="535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533">
        <f ca="1">IFERROR(__xludf.DUMMYFUNCTION("IMPORTRANGE(""https://docs.google.com/spreadsheets/d/1Yj_ptqi66GCucihVvJfMjLAmec39IyEx_6qawtMGysU/edit?usp=sharing"",""สบก!BZ45"")"),0)</f>
        <v>0</v>
      </c>
      <c r="M258" s="536"/>
      <c r="N258" s="533">
        <f ca="1">IFERROR(__xludf.DUMMYFUNCTION("IMPORTRANGE(""https://docs.google.com/spreadsheets/d/1Yj_ptqi66GCucihVvJfMjLAmec39IyEx_6qawtMGysU/edit?usp=sharing"",""สบก!CD45"")"),0)</f>
        <v>0</v>
      </c>
      <c r="O258" s="536">
        <f ca="1">IF(L258&gt;0,N258*100/L258,0)</f>
        <v>0</v>
      </c>
      <c r="P258" s="536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IFERROR(__xludf.DUMMYFUNCTION("IMPORTRANGE(""https://docs.google.com/spreadsheets/d/1XL5vhW3sbDhbH9Cz0tuDiY8C3ctxq1tqvaCgkFb8cCA/edit?usp=sharing"",""มหาสารคาม!J175"")"),0)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IFERROR(__xludf.DUMMYFUNCTION("IMPORTRANGE(""https://docs.google.com/spreadsheets/d/1XL5vhW3sbDhbH9Cz0tuDiY8C3ctxq1tqvaCgkFb8cCA/edit?usp=sharing"",""มหาสารคาม!J176"")"),0)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IFERROR(__xludf.DUMMYFUNCTION("IMPORTRANGE(""https://docs.google.com/spreadsheets/d/1XL5vhW3sbDhbH9Cz0tuDiY8C3ctxq1tqvaCgkFb8cCA/edit?usp=sharing"",""มหาสารคาม!J177"")"),0)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IFERROR(__xludf.DUMMYFUNCTION("IMPORTRANGE(""https://docs.google.com/spreadsheets/d/1XL5vhW3sbDhbH9Cz0tuDiY8C3ctxq1tqvaCgkFb8cCA/edit?usp=sharing"",""มหาสารคาม!J178"")"),0)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IFERROR(__xludf.DUMMYFUNCTION("IMPORTRANGE(""https://docs.google.com/spreadsheets/d/1XL5vhW3sbDhbH9Cz0tuDiY8C3ctxq1tqvaCgkFb8cCA/edit?usp=sharing"",""มหาสารคาม!I179"")"),0)</f>
        <v>0</v>
      </c>
      <c r="J264" s="189">
        <f ca="1">IFERROR(__xludf.DUMMYFUNCTION("IMPORTRANGE(""https://docs.google.com/spreadsheets/d/1XL5vhW3sbDhbH9Cz0tuDiY8C3ctxq1tqvaCgkFb8cCA/edit?usp=sharing"",""มหาสารคาม!J179"")"),0)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IFERROR(__xludf.DUMMYFUNCTION("IMPORTRANGE(""https://docs.google.com/spreadsheets/d/1XL5vhW3sbDhbH9Cz0tuDiY8C3ctxq1tqvaCgkFb8cCA/edit?usp=sharing"",""มหาสารคาม!I180"")"),0)</f>
        <v>0</v>
      </c>
      <c r="J265" s="189">
        <f ca="1">IFERROR(__xludf.DUMMYFUNCTION("IMPORTRANGE(""https://docs.google.com/spreadsheets/d/1XL5vhW3sbDhbH9Cz0tuDiY8C3ctxq1tqvaCgkFb8cCA/edit?usp=sharing"",""มหาสารคาม!J180"")"),0)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IFERROR(__xludf.DUMMYFUNCTION("IMPORTRANGE(""https://docs.google.com/spreadsheets/d/1XL5vhW3sbDhbH9Cz0tuDiY8C3ctxq1tqvaCgkFb8cCA/edit?usp=sharing"",""มหาสารคาม!I181"")"),0)</f>
        <v>0</v>
      </c>
      <c r="J266" s="189">
        <f ca="1">IFERROR(__xludf.DUMMYFUNCTION("IMPORTRANGE(""https://docs.google.com/spreadsheets/d/1XL5vhW3sbDhbH9Cz0tuDiY8C3ctxq1tqvaCgkFb8cCA/edit?usp=sharing"",""มหาสารคาม!J181"")"),0)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IFERROR(__xludf.DUMMYFUNCTION("IMPORTRANGE(""https://docs.google.com/spreadsheets/d/1XL5vhW3sbDhbH9Cz0tuDiY8C3ctxq1tqvaCgkFb8cCA/edit?usp=sharing"",""มหาสารคาม!I182"")"),0)</f>
        <v>0</v>
      </c>
      <c r="J267" s="189">
        <f ca="1">IFERROR(__xludf.DUMMYFUNCTION("IMPORTRANGE(""https://docs.google.com/spreadsheets/d/1XL5vhW3sbDhbH9Cz0tuDiY8C3ctxq1tqvaCgkFb8cCA/edit?usp=sharing"",""มหาสารคาม!J182"")"),0)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IFERROR(__xludf.DUMMYFUNCTION("IMPORTRANGE(""https://docs.google.com/spreadsheets/d/1XL5vhW3sbDhbH9Cz0tuDiY8C3ctxq1tqvaCgkFb8cCA/edit?usp=sharing"",""มหาสารคาม!J183"")"),0)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IFERROR(__xludf.DUMMYFUNCTION("IMPORTRANGE(""https://docs.google.com/spreadsheets/d/1XL5vhW3sbDhbH9Cz0tuDiY8C3ctxq1tqvaCgkFb8cCA/edit?usp=sharing"",""มหาสารคาม!J184"")"),0)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IFERROR(__xludf.DUMMYFUNCTION("IMPORTRANGE(""https://docs.google.com/spreadsheets/d/1XL5vhW3sbDhbH9Cz0tuDiY8C3ctxq1tqvaCgkFb8cCA/edit?usp=sharing"",""มหาสารคาม!I185"")"),15)</f>
        <v>15</v>
      </c>
      <c r="J270" s="316">
        <f ca="1">IFERROR(__xludf.DUMMYFUNCTION("IMPORTRANGE(""https://docs.google.com/spreadsheets/d/1XL5vhW3sbDhbH9Cz0tuDiY8C3ctxq1tqvaCgkFb8cCA/edit?usp=sharing"",""มหาสารคาม!J185"")"),15)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54" t="s">
        <v>17</v>
      </c>
      <c r="E271" s="555"/>
      <c r="F271" s="555"/>
      <c r="G271" s="555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32250</v>
      </c>
      <c r="O271" s="151">
        <f t="shared" ref="O271:O273" ca="1" si="84">IF(L271&gt;0,N271*100/L271,0)</f>
        <v>58.423913043478258</v>
      </c>
      <c r="P271" s="151">
        <f t="shared" ref="P271:P273" ca="1" si="85">IF(M271&gt;0,N271*100/M271,0)</f>
        <v>100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32250</v>
      </c>
      <c r="O273" s="156">
        <f t="shared" ca="1" si="84"/>
        <v>58.423913043478258</v>
      </c>
      <c r="P273" s="156">
        <f t="shared" ca="1" si="85"/>
        <v>100</v>
      </c>
    </row>
    <row r="274" spans="1:16" ht="21.75" customHeight="1" x14ac:dyDescent="0.45">
      <c r="A274" s="158"/>
      <c r="B274" s="159"/>
      <c r="C274" s="159" t="s">
        <v>16</v>
      </c>
      <c r="D274" s="552" t="s">
        <v>20</v>
      </c>
      <c r="E274" s="553"/>
      <c r="F274" s="55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537">
        <f ca="1">IFERROR(__xludf.DUMMYFUNCTION("IMPORTRANGE(""https://docs.google.com/spreadsheets/d/1Yj_ptqi66GCucihVvJfMjLAmec39IyEx_6qawtMGysU/edit?usp=sharing"",""สบก!CK45"")"),32250)</f>
        <v>32250</v>
      </c>
      <c r="N275" s="538">
        <f ca="1">IFERROR(__xludf.DUMMYFUNCTION("IMPORTRANGE(""https://docs.google.com/spreadsheets/d/1Yj_ptqi66GCucihVvJfMjLAmec39IyEx_6qawtMGysU/edit?usp=sharing"",""สบก!CL45"")"),32250)</f>
        <v>32250</v>
      </c>
      <c r="O275" s="169">
        <f ca="1">IF(L275&gt;0,N275*100/L275,0)</f>
        <v>58.423913043478258</v>
      </c>
      <c r="P275" s="169">
        <f ca="1">IF(M275&gt;0,N275*100/M275,0)</f>
        <v>100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537">
        <f ca="1">IFERROR(__xludf.DUMMYFUNCTION("IMPORTRANGE(""https://docs.google.com/spreadsheets/d/1Yj_ptqi66GCucihVvJfMjLAmec39IyEx_6qawtMGysU/edit?usp=sharing"",""สบก!CG45"")"),0)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537">
        <f ca="1">IFERROR(__xludf.DUMMYFUNCTION("IMPORTRANGE(""https://docs.google.com/spreadsheets/d/1Yj_ptqi66GCucihVvJfMjLAmec39IyEx_6qawtMGysU/edit?usp=sharing"",""สบก!CH45"")"),55200)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52" t="s">
        <v>23</v>
      </c>
      <c r="E278" s="553"/>
      <c r="F278" s="89"/>
      <c r="G278" s="82" t="s">
        <v>18</v>
      </c>
      <c r="H278" s="172" t="s">
        <v>12</v>
      </c>
      <c r="I278" s="162"/>
      <c r="J278" s="162"/>
      <c r="K278" s="163"/>
      <c r="L278" s="535">
        <v>0</v>
      </c>
      <c r="M278" s="535"/>
      <c r="N278" s="41"/>
      <c r="O278" s="535"/>
      <c r="P278" s="535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533">
        <f ca="1">IFERROR(__xludf.DUMMYFUNCTION("IMPORTRANGE(""https://docs.google.com/spreadsheets/d/1Yj_ptqi66GCucihVvJfMjLAmec39IyEx_6qawtMGysU/edit?usp=sharing"",""สบก!CI45"")"),0)</f>
        <v>0</v>
      </c>
      <c r="M279" s="536"/>
      <c r="N279" s="533">
        <f ca="1">IFERROR(__xludf.DUMMYFUNCTION("IMPORTRANGE(""https://docs.google.com/spreadsheets/d/1Yj_ptqi66GCucihVvJfMjLAmec39IyEx_6qawtMGysU/edit?usp=sharing"",""สบก!CM45"")"),0)</f>
        <v>0</v>
      </c>
      <c r="O279" s="536">
        <f ca="1">IF(L279&gt;0,N279*100/L279,0)</f>
        <v>0</v>
      </c>
      <c r="P279" s="536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IFERROR(__xludf.DUMMYFUNCTION("IMPORTRANGE(""https://docs.google.com/spreadsheets/d/1XL5vhW3sbDhbH9Cz0tuDiY8C3ctxq1tqvaCgkFb8cCA/edit?usp=sharing"",""มหาสารคาม!J191"")"),0)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IFERROR(__xludf.DUMMYFUNCTION("IMPORTRANGE(""https://docs.google.com/spreadsheets/d/1XL5vhW3sbDhbH9Cz0tuDiY8C3ctxq1tqvaCgkFb8cCA/edit?usp=sharing"",""มหาสารคาม!J192"")"),1)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IFERROR(__xludf.DUMMYFUNCTION("IMPORTRANGE(""https://docs.google.com/spreadsheets/d/1XL5vhW3sbDhbH9Cz0tuDiY8C3ctxq1tqvaCgkFb8cCA/edit?usp=sharing"",""มหาสารคาม!J193"")"),1)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IFERROR(__xludf.DUMMYFUNCTION("IMPORTRANGE(""https://docs.google.com/spreadsheets/d/1XL5vhW3sbDhbH9Cz0tuDiY8C3ctxq1tqvaCgkFb8cCA/edit?usp=sharing"",""มหาสารคาม!J194"")"),1)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IFERROR(__xludf.DUMMYFUNCTION("IMPORTRANGE(""https://docs.google.com/spreadsheets/d/1XL5vhW3sbDhbH9Cz0tuDiY8C3ctxq1tqvaCgkFb8cCA/edit?usp=sharing"",""มหาสารคาม!I195"")"),15)</f>
        <v>15</v>
      </c>
      <c r="J285" s="189">
        <f ca="1">IFERROR(__xludf.DUMMYFUNCTION("IMPORTRANGE(""https://docs.google.com/spreadsheets/d/1XL5vhW3sbDhbH9Cz0tuDiY8C3ctxq1tqvaCgkFb8cCA/edit?usp=sharing"",""มหาสารคาม!J195"")"),15)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IFERROR(__xludf.DUMMYFUNCTION("IMPORTRANGE(""https://docs.google.com/spreadsheets/d/1XL5vhW3sbDhbH9Cz0tuDiY8C3ctxq1tqvaCgkFb8cCA/edit?usp=sharing"",""มหาสารคาม!J196"")"),0)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IFERROR(__xludf.DUMMYFUNCTION("IMPORTRANGE(""https://docs.google.com/spreadsheets/d/1XL5vhW3sbDhbH9Cz0tuDiY8C3ctxq1tqvaCgkFb8cCA/edit?usp=sharing"",""มหาสารคาม!J197"")"),0)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IFERROR(__xludf.DUMMYFUNCTION("IMPORTRANGE(""https://docs.google.com/spreadsheets/d/1XL5vhW3sbDhbH9Cz0tuDiY8C3ctxq1tqvaCgkFb8cCA/edit?usp=sharing"",""มหาสารคาม!I199"")"),0)</f>
        <v>0</v>
      </c>
      <c r="J289" s="316">
        <f ca="1">IFERROR(__xludf.DUMMYFUNCTION("IMPORTRANGE(""https://docs.google.com/spreadsheets/d/1XL5vhW3sbDhbH9Cz0tuDiY8C3ctxq1tqvaCgkFb8cCA/edit?usp=sharing"",""มหาสารคาม!J199"")"),0)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54" t="s">
        <v>17</v>
      </c>
      <c r="E290" s="555"/>
      <c r="F290" s="555"/>
      <c r="G290" s="55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52" t="s">
        <v>20</v>
      </c>
      <c r="E293" s="553"/>
      <c r="F293" s="55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537">
        <f ca="1">IFERROR(__xludf.DUMMYFUNCTION("IMPORTRANGE(""https://docs.google.com/spreadsheets/d/1Yj_ptqi66GCucihVvJfMjLAmec39IyEx_6qawtMGysU/edit?usp=sharing"",""สบก!CT45"")"),0)</f>
        <v>0</v>
      </c>
      <c r="N294" s="538">
        <f ca="1">IFERROR(__xludf.DUMMYFUNCTION("IMPORTRANGE(""https://docs.google.com/spreadsheets/d/1Yj_ptqi66GCucihVvJfMjLAmec39IyEx_6qawtMGysU/edit?usp=sharing"",""สบก!CU45"")"),0)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537">
        <f ca="1">IFERROR(__xludf.DUMMYFUNCTION("IMPORTRANGE(""https://docs.google.com/spreadsheets/d/1Yj_ptqi66GCucihVvJfMjLAmec39IyEx_6qawtMGysU/edit?usp=sharing"",""สบก!CP45"")"),0)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537">
        <f ca="1">IFERROR(__xludf.DUMMYFUNCTION("IMPORTRANGE(""https://docs.google.com/spreadsheets/d/1Yj_ptqi66GCucihVvJfMjLAmec39IyEx_6qawtMGysU/edit?usp=sharing"",""สบก!CQ45"")"),0)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52" t="s">
        <v>23</v>
      </c>
      <c r="E297" s="553"/>
      <c r="F297" s="89"/>
      <c r="G297" s="82" t="s">
        <v>18</v>
      </c>
      <c r="H297" s="172" t="s">
        <v>12</v>
      </c>
      <c r="I297" s="188"/>
      <c r="J297" s="188"/>
      <c r="K297" s="224"/>
      <c r="L297" s="535">
        <v>0</v>
      </c>
      <c r="M297" s="535"/>
      <c r="N297" s="41"/>
      <c r="O297" s="535"/>
      <c r="P297" s="535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533">
        <f ca="1">IFERROR(__xludf.DUMMYFUNCTION("IMPORTRANGE(""https://docs.google.com/spreadsheets/d/1Yj_ptqi66GCucihVvJfMjLAmec39IyEx_6qawtMGysU/edit?usp=sharing"",""สบก!CR45"")"),0)</f>
        <v>0</v>
      </c>
      <c r="M298" s="536"/>
      <c r="N298" s="533">
        <f ca="1">IFERROR(__xludf.DUMMYFUNCTION("IMPORTRANGE(""https://docs.google.com/spreadsheets/d/1Yj_ptqi66GCucihVvJfMjLAmec39IyEx_6qawtMGysU/edit?usp=sharing"",""สบก!CV45"")"),0)</f>
        <v>0</v>
      </c>
      <c r="O298" s="536">
        <f ca="1">IF(L298&gt;0,N298*100/L298,0)</f>
        <v>0</v>
      </c>
      <c r="P298" s="536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IFERROR(__xludf.DUMMYFUNCTION("IMPORTRANGE(""https://docs.google.com/spreadsheets/d/1XL5vhW3sbDhbH9Cz0tuDiY8C3ctxq1tqvaCgkFb8cCA/edit?usp=sharing"",""มหาสารคาม!J205"")"),0)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IFERROR(__xludf.DUMMYFUNCTION("IMPORTRANGE(""https://docs.google.com/spreadsheets/d/1XL5vhW3sbDhbH9Cz0tuDiY8C3ctxq1tqvaCgkFb8cCA/edit?usp=sharing"",""มหาสารคาม!J206"")"),0)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IFERROR(__xludf.DUMMYFUNCTION("IMPORTRANGE(""https://docs.google.com/spreadsheets/d/1XL5vhW3sbDhbH9Cz0tuDiY8C3ctxq1tqvaCgkFb8cCA/edit?usp=sharing"",""มหาสารคาม!J207"")"),0)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IFERROR(__xludf.DUMMYFUNCTION("IMPORTRANGE(""https://docs.google.com/spreadsheets/d/1XL5vhW3sbDhbH9Cz0tuDiY8C3ctxq1tqvaCgkFb8cCA/edit?usp=sharing"",""มหาสารคาม!J208"")"),0)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IFERROR(__xludf.DUMMYFUNCTION("IMPORTRANGE(""https://docs.google.com/spreadsheets/d/1XL5vhW3sbDhbH9Cz0tuDiY8C3ctxq1tqvaCgkFb8cCA/edit?usp=sharing"",""มหาสารคาม!I209"")"),0)</f>
        <v>0</v>
      </c>
      <c r="J304" s="204">
        <f ca="1">IFERROR(__xludf.DUMMYFUNCTION("IMPORTRANGE(""https://docs.google.com/spreadsheets/d/1XL5vhW3sbDhbH9Cz0tuDiY8C3ctxq1tqvaCgkFb8cCA/edit?usp=sharing"",""มหาสารคาม!J209"")"),0)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IFERROR(__xludf.DUMMYFUNCTION("IMPORTRANGE(""https://docs.google.com/spreadsheets/d/1XL5vhW3sbDhbH9Cz0tuDiY8C3ctxq1tqvaCgkFb8cCA/edit?usp=sharing"",""มหาสารคาม!I211"")"),0)</f>
        <v>0</v>
      </c>
      <c r="J306" s="204">
        <f ca="1">IFERROR(__xludf.DUMMYFUNCTION("IMPORTRANGE(""https://docs.google.com/spreadsheets/d/1XL5vhW3sbDhbH9Cz0tuDiY8C3ctxq1tqvaCgkFb8cCA/edit?usp=sharing"",""มหาสารคาม!J211"")"),0)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IFERROR(__xludf.DUMMYFUNCTION("IMPORTRANGE(""https://docs.google.com/spreadsheets/d/1XL5vhW3sbDhbH9Cz0tuDiY8C3ctxq1tqvaCgkFb8cCA/edit?usp=sharing"",""มหาสารคาม!J212"")"),0)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IFERROR(__xludf.DUMMYFUNCTION("IMPORTRANGE(""https://docs.google.com/spreadsheets/d/1XL5vhW3sbDhbH9Cz0tuDiY8C3ctxq1tqvaCgkFb8cCA/edit?usp=sharing"",""มหาสารคาม!J213"")"),0)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IFERROR(__xludf.DUMMYFUNCTION("IMPORTRANGE(""https://docs.google.com/spreadsheets/d/1XL5vhW3sbDhbH9Cz0tuDiY8C3ctxq1tqvaCgkFb8cCA/edit?usp=sharing"",""มหาสารคาม!I214"")"),0)</f>
        <v>0</v>
      </c>
      <c r="J309" s="333">
        <f ca="1">IFERROR(__xludf.DUMMYFUNCTION("IMPORTRANGE(""https://docs.google.com/spreadsheets/d/1XL5vhW3sbDhbH9Cz0tuDiY8C3ctxq1tqvaCgkFb8cCA/edit?usp=sharing"",""มหาสารคาม!J214"")"),0)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54" t="s">
        <v>17</v>
      </c>
      <c r="E310" s="555"/>
      <c r="F310" s="555"/>
      <c r="G310" s="55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52" t="s">
        <v>20</v>
      </c>
      <c r="E313" s="553"/>
      <c r="F313" s="55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537">
        <f ca="1">IFERROR(__xludf.DUMMYFUNCTION("IMPORTRANGE(""https://docs.google.com/spreadsheets/d/1Yj_ptqi66GCucihVvJfMjLAmec39IyEx_6qawtMGysU/edit?usp=sharing"",""สบก!DC45"")"),0)</f>
        <v>0</v>
      </c>
      <c r="N314" s="538">
        <f ca="1">IFERROR(__xludf.DUMMYFUNCTION("IMPORTRANGE(""https://docs.google.com/spreadsheets/d/1Yj_ptqi66GCucihVvJfMjLAmec39IyEx_6qawtMGysU/edit?usp=sharing"",""สบก!DD45"")"),0)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537">
        <f ca="1">IFERROR(__xludf.DUMMYFUNCTION("IMPORTRANGE(""https://docs.google.com/spreadsheets/d/1Yj_ptqi66GCucihVvJfMjLAmec39IyEx_6qawtMGysU/edit?usp=sharing"",""สบก!CY45"")"),0)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537">
        <f ca="1">IFERROR(__xludf.DUMMYFUNCTION("IMPORTRANGE(""https://docs.google.com/spreadsheets/d/1Yj_ptqi66GCucihVvJfMjLAmec39IyEx_6qawtMGysU/edit?usp=sharing"",""สบก!CZ45"")"),0)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52" t="s">
        <v>23</v>
      </c>
      <c r="E317" s="553"/>
      <c r="F317" s="89"/>
      <c r="G317" s="82" t="s">
        <v>18</v>
      </c>
      <c r="H317" s="172" t="s">
        <v>12</v>
      </c>
      <c r="I317" s="162"/>
      <c r="J317" s="188"/>
      <c r="K317" s="224"/>
      <c r="L317" s="535">
        <v>0</v>
      </c>
      <c r="M317" s="535"/>
      <c r="N317" s="41"/>
      <c r="O317" s="535"/>
      <c r="P317" s="535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533">
        <f ca="1">IFERROR(__xludf.DUMMYFUNCTION("IMPORTRANGE(""https://docs.google.com/spreadsheets/d/1Yj_ptqi66GCucihVvJfMjLAmec39IyEx_6qawtMGysU/edit?usp=sharing"",""สบก!DA45"")"),0)</f>
        <v>0</v>
      </c>
      <c r="M318" s="536"/>
      <c r="N318" s="533">
        <f ca="1">IFERROR(__xludf.DUMMYFUNCTION("IMPORTRANGE(""https://docs.google.com/spreadsheets/d/1Yj_ptqi66GCucihVvJfMjLAmec39IyEx_6qawtMGysU/edit?usp=sharing"",""สบก!DE45"")"),0)</f>
        <v>0</v>
      </c>
      <c r="O318" s="536">
        <f ca="1">IF(L318&gt;0,N318*100/L318,0)</f>
        <v>0</v>
      </c>
      <c r="P318" s="536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IFERROR(__xludf.DUMMYFUNCTION("IMPORTRANGE(""https://docs.google.com/spreadsheets/d/1XL5vhW3sbDhbH9Cz0tuDiY8C3ctxq1tqvaCgkFb8cCA/edit?usp=sharing"",""มหาสารคาม!J220"")"),0)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IFERROR(__xludf.DUMMYFUNCTION("IMPORTRANGE(""https://docs.google.com/spreadsheets/d/1XL5vhW3sbDhbH9Cz0tuDiY8C3ctxq1tqvaCgkFb8cCA/edit?usp=sharing"",""มหาสารคาม!J221"")"),0)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IFERROR(__xludf.DUMMYFUNCTION("IMPORTRANGE(""https://docs.google.com/spreadsheets/d/1XL5vhW3sbDhbH9Cz0tuDiY8C3ctxq1tqvaCgkFb8cCA/edit?usp=sharing"",""มหาสารคาม!J222"")"),0)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IFERROR(__xludf.DUMMYFUNCTION("IMPORTRANGE(""https://docs.google.com/spreadsheets/d/1XL5vhW3sbDhbH9Cz0tuDiY8C3ctxq1tqvaCgkFb8cCA/edit?usp=sharing"",""มหาสารคาม!J223"")"),0)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IFERROR(__xludf.DUMMYFUNCTION("IMPORTRANGE(""https://docs.google.com/spreadsheets/d/1XL5vhW3sbDhbH9Cz0tuDiY8C3ctxq1tqvaCgkFb8cCA/edit?usp=sharing"",""มหาสารคาม!I224"")"),0)</f>
        <v>0</v>
      </c>
      <c r="J324" s="204">
        <f ca="1">IFERROR(__xludf.DUMMYFUNCTION("IMPORTRANGE(""https://docs.google.com/spreadsheets/d/1XL5vhW3sbDhbH9Cz0tuDiY8C3ctxq1tqvaCgkFb8cCA/edit?usp=sharing"",""มหาสารคาม!J224"")"),0)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IFERROR(__xludf.DUMMYFUNCTION("IMPORTRANGE(""https://docs.google.com/spreadsheets/d/1XL5vhW3sbDhbH9Cz0tuDiY8C3ctxq1tqvaCgkFb8cCA/edit?usp=sharing"",""มหาสารคาม!J225"")"),0)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IFERROR(__xludf.DUMMYFUNCTION("IMPORTRANGE(""https://docs.google.com/spreadsheets/d/1XL5vhW3sbDhbH9Cz0tuDiY8C3ctxq1tqvaCgkFb8cCA/edit?usp=sharing"",""มหาสารคาม!J226"")"),0)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IFERROR(__xludf.DUMMYFUNCTION("IMPORTRANGE(""https://docs.google.com/spreadsheets/d/1XL5vhW3sbDhbH9Cz0tuDiY8C3ctxq1tqvaCgkFb8cCA/edit?usp=sharing"",""มหาสารคาม!I228"")"),160)</f>
        <v>160</v>
      </c>
      <c r="J328" s="339">
        <f ca="1">IFERROR(__xludf.DUMMYFUNCTION("IMPORTRANGE(""https://docs.google.com/spreadsheets/d/1XL5vhW3sbDhbH9Cz0tuDiY8C3ctxq1tqvaCgkFb8cCA/edit?usp=sharing"",""มหาสารคาม!J228"")"),101)</f>
        <v>101</v>
      </c>
      <c r="K328" s="317">
        <f ca="1">IF(I328&gt;0,J328*100/I328,0)</f>
        <v>63.125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54" t="s">
        <v>17</v>
      </c>
      <c r="E329" s="555"/>
      <c r="F329" s="555"/>
      <c r="G329" s="555"/>
      <c r="H329" s="149" t="s">
        <v>12</v>
      </c>
      <c r="I329" s="162"/>
      <c r="J329" s="162"/>
      <c r="K329" s="163"/>
      <c r="L329" s="152">
        <f t="shared" ref="L329:N329" ca="1" si="98">L330+L331</f>
        <v>658010</v>
      </c>
      <c r="M329" s="152">
        <f t="shared" ca="1" si="98"/>
        <v>466610</v>
      </c>
      <c r="N329" s="152">
        <f t="shared" ca="1" si="98"/>
        <v>303182.84999999998</v>
      </c>
      <c r="O329" s="151">
        <f t="shared" ref="O329:O331" ca="1" si="99">IF(L329&gt;0,N329*100/L329,0)</f>
        <v>46.075720733727444</v>
      </c>
      <c r="P329" s="151">
        <f t="shared" ref="P329:P331" ca="1" si="100">IF(M329&gt;0,N329*100/M329,0)</f>
        <v>64.975643470992893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658010</v>
      </c>
      <c r="M331" s="157">
        <f t="shared" ca="1" si="102"/>
        <v>466610</v>
      </c>
      <c r="N331" s="157">
        <f t="shared" ca="1" si="102"/>
        <v>303182.84999999998</v>
      </c>
      <c r="O331" s="156">
        <f t="shared" ca="1" si="99"/>
        <v>46.075720733727444</v>
      </c>
      <c r="P331" s="156">
        <f t="shared" ca="1" si="100"/>
        <v>64.975643470992893</v>
      </c>
    </row>
    <row r="332" spans="1:16" ht="21.75" customHeight="1" x14ac:dyDescent="0.45">
      <c r="A332" s="158"/>
      <c r="B332" s="159"/>
      <c r="C332" s="159" t="s">
        <v>16</v>
      </c>
      <c r="D332" s="552" t="s">
        <v>20</v>
      </c>
      <c r="E332" s="553"/>
      <c r="F332" s="55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658010</v>
      </c>
      <c r="M333" s="537">
        <f ca="1">IFERROR(__xludf.DUMMYFUNCTION("IMPORTRANGE(""https://docs.google.com/spreadsheets/d/1Yj_ptqi66GCucihVvJfMjLAmec39IyEx_6qawtMGysU/edit?usp=sharing"",""สบก!DL45"")"),466610)</f>
        <v>466610</v>
      </c>
      <c r="N333" s="538">
        <f ca="1">IFERROR(__xludf.DUMMYFUNCTION("IMPORTRANGE(""https://docs.google.com/spreadsheets/d/1Yj_ptqi66GCucihVvJfMjLAmec39IyEx_6qawtMGysU/edit?usp=sharing"",""สบก!DM45"")"),303182.85)</f>
        <v>303182.84999999998</v>
      </c>
      <c r="O333" s="169">
        <f ca="1">IF(L333&gt;0,N333*100/L333,0)</f>
        <v>46.075720733727444</v>
      </c>
      <c r="P333" s="169">
        <f ca="1">IF(M333&gt;0,N333*100/M333,0)</f>
        <v>64.975643470992893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537">
        <f ca="1">IFERROR(__xludf.DUMMYFUNCTION("IMPORTRANGE(""https://docs.google.com/spreadsheets/d/1Yj_ptqi66GCucihVvJfMjLAmec39IyEx_6qawtMGysU/edit?usp=sharing"",""สบก!DH45"")"),306000)</f>
        <v>306000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537">
        <f ca="1">IFERROR(__xludf.DUMMYFUNCTION("IMPORTRANGE(""https://docs.google.com/spreadsheets/d/1Yj_ptqi66GCucihVvJfMjLAmec39IyEx_6qawtMGysU/edit?usp=sharing"",""สบก!DI45"")"),352010)</f>
        <v>352010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52" t="s">
        <v>23</v>
      </c>
      <c r="E336" s="553"/>
      <c r="F336" s="89"/>
      <c r="G336" s="82" t="s">
        <v>18</v>
      </c>
      <c r="H336" s="172" t="s">
        <v>12</v>
      </c>
      <c r="I336" s="162"/>
      <c r="J336" s="162"/>
      <c r="K336" s="163"/>
      <c r="L336" s="535">
        <v>0</v>
      </c>
      <c r="M336" s="535"/>
      <c r="N336" s="41"/>
      <c r="O336" s="535"/>
      <c r="P336" s="535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533">
        <f ca="1">IFERROR(__xludf.DUMMYFUNCTION("IMPORTRANGE(""https://docs.google.com/spreadsheets/d/1Yj_ptqi66GCucihVvJfMjLAmec39IyEx_6qawtMGysU/edit?usp=sharing"",""สบก!DJ45"")"),0)</f>
        <v>0</v>
      </c>
      <c r="M337" s="536"/>
      <c r="N337" s="533">
        <f ca="1">IFERROR(__xludf.DUMMYFUNCTION("IMPORTRANGE(""https://docs.google.com/spreadsheets/d/1Yj_ptqi66GCucihVvJfMjLAmec39IyEx_6qawtMGysU/edit?usp=sharing"",""สบก!DN45"")"),0)</f>
        <v>0</v>
      </c>
      <c r="O337" s="536">
        <f ca="1">IF(L337&gt;0,N337*100/L337,0)</f>
        <v>0</v>
      </c>
      <c r="P337" s="536"/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IFERROR(__xludf.DUMMYFUNCTION("IMPORTRANGE(""https://docs.google.com/spreadsheets/d/1XL5vhW3sbDhbH9Cz0tuDiY8C3ctxq1tqvaCgkFb8cCA/edit?usp=sharing"",""มหาสารคาม!I234"")"),0)</f>
        <v>0</v>
      </c>
      <c r="J339" s="188">
        <f ca="1">IFERROR(__xludf.DUMMYFUNCTION("IMPORTRANGE(""https://docs.google.com/spreadsheets/d/1XL5vhW3sbDhbH9Cz0tuDiY8C3ctxq1tqvaCgkFb8cCA/edit?usp=sharing"",""มหาสารคาม!J234"")"),128)</f>
        <v>128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IFERROR(__xludf.DUMMYFUNCTION("IMPORTRANGE(""https://docs.google.com/spreadsheets/d/1XL5vhW3sbDhbH9Cz0tuDiY8C3ctxq1tqvaCgkFb8cCA/edit?usp=sharing"",""มหาสารคาม!I235"")"),1350)</f>
        <v>1350</v>
      </c>
      <c r="J340" s="188">
        <f ca="1">IFERROR(__xludf.DUMMYFUNCTION("IMPORTRANGE(""https://docs.google.com/spreadsheets/d/1XL5vhW3sbDhbH9Cz0tuDiY8C3ctxq1tqvaCgkFb8cCA/edit?usp=sharing"",""มหาสารคาม!J235"")"),993.62)</f>
        <v>993.62</v>
      </c>
      <c r="K340" s="342">
        <f t="shared" ca="1" si="103"/>
        <v>73.601481481481486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IFERROR(__xludf.DUMMYFUNCTION("IMPORTRANGE(""https://docs.google.com/spreadsheets/d/1XL5vhW3sbDhbH9Cz0tuDiY8C3ctxq1tqvaCgkFb8cCA/edit?usp=sharing"",""มหาสารคาม!I236"")"),160)</f>
        <v>160</v>
      </c>
      <c r="J341" s="188">
        <f ca="1">IFERROR(__xludf.DUMMYFUNCTION("IMPORTRANGE(""https://docs.google.com/spreadsheets/d/1XL5vhW3sbDhbH9Cz0tuDiY8C3ctxq1tqvaCgkFb8cCA/edit?usp=sharing"",""มหาสารคาม!J236"")"),102)</f>
        <v>102</v>
      </c>
      <c r="K341" s="342">
        <f t="shared" ca="1" si="103"/>
        <v>63.75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IFERROR(__xludf.DUMMYFUNCTION("IMPORTRANGE(""https://docs.google.com/spreadsheets/d/1XL5vhW3sbDhbH9Cz0tuDiY8C3ctxq1tqvaCgkFb8cCA/edit?usp=sharing"",""มหาสารคาม!I237"")"),0)</f>
        <v>0</v>
      </c>
      <c r="J342" s="188">
        <f ca="1">IFERROR(__xludf.DUMMYFUNCTION("IMPORTRANGE(""https://docs.google.com/spreadsheets/d/1XL5vhW3sbDhbH9Cz0tuDiY8C3ctxq1tqvaCgkFb8cCA/edit?usp=sharing"",""มหาสารคาม!J237"")"),1045.44)</f>
        <v>1045.44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IFERROR(__xludf.DUMMYFUNCTION("IMPORTRANGE(""https://docs.google.com/spreadsheets/d/1XL5vhW3sbDhbH9Cz0tuDiY8C3ctxq1tqvaCgkFb8cCA/edit?usp=sharing"",""มหาสารคาม!I238"")"),160)</f>
        <v>160</v>
      </c>
      <c r="J343" s="188">
        <f ca="1">IFERROR(__xludf.DUMMYFUNCTION("IMPORTRANGE(""https://docs.google.com/spreadsheets/d/1XL5vhW3sbDhbH9Cz0tuDiY8C3ctxq1tqvaCgkFb8cCA/edit?usp=sharing"",""มหาสารคาม!J238"")"),0)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IFERROR(__xludf.DUMMYFUNCTION("IMPORTRANGE(""https://docs.google.com/spreadsheets/d/1XL5vhW3sbDhbH9Cz0tuDiY8C3ctxq1tqvaCgkFb8cCA/edit?usp=sharing"",""มหาสารคาม!I239"")"),0)</f>
        <v>0</v>
      </c>
      <c r="J344" s="188">
        <f ca="1">IFERROR(__xludf.DUMMYFUNCTION("IMPORTRANGE(""https://docs.google.com/spreadsheets/d/1XL5vhW3sbDhbH9Cz0tuDiY8C3ctxq1tqvaCgkFb8cCA/edit?usp=sharing"",""มหาสารคาม!J239"")"),0)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IFERROR(__xludf.DUMMYFUNCTION("IMPORTRANGE(""https://docs.google.com/spreadsheets/d/1XL5vhW3sbDhbH9Cz0tuDiY8C3ctxq1tqvaCgkFb8cCA/edit?usp=sharing"",""มหาสารคาม!I240"")"),160)</f>
        <v>160</v>
      </c>
      <c r="J345" s="188">
        <f ca="1">IFERROR(__xludf.DUMMYFUNCTION("IMPORTRANGE(""https://docs.google.com/spreadsheets/d/1XL5vhW3sbDhbH9Cz0tuDiY8C3ctxq1tqvaCgkFb8cCA/edit?usp=sharing"",""มหาสารคาม!J240"")"),101)</f>
        <v>101</v>
      </c>
      <c r="K345" s="342">
        <f t="shared" ca="1" si="103"/>
        <v>63.125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IFERROR(__xludf.DUMMYFUNCTION("IMPORTRANGE(""https://docs.google.com/spreadsheets/d/1XL5vhW3sbDhbH9Cz0tuDiY8C3ctxq1tqvaCgkFb8cCA/edit?usp=sharing"",""มหาสารคาม!I241"")"),0)</f>
        <v>0</v>
      </c>
      <c r="J346" s="188">
        <f ca="1">IFERROR(__xludf.DUMMYFUNCTION("IMPORTRANGE(""https://docs.google.com/spreadsheets/d/1XL5vhW3sbDhbH9Cz0tuDiY8C3ctxq1tqvaCgkFb8cCA/edit?usp=sharing"",""มหาสารคาม!J241"")"),1037.39)</f>
        <v>1037.3900000000001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IFERROR(__xludf.DUMMYFUNCTION("IMPORTRANGE(""https://docs.google.com/spreadsheets/d/1XL5vhW3sbDhbH9Cz0tuDiY8C3ctxq1tqvaCgkFb8cCA/edit?usp=sharing"",""มหาสารคาม!L242"")"),2365457)</f>
        <v>2365457</v>
      </c>
      <c r="M347" s="358"/>
      <c r="N347" s="358">
        <f ca="1">IFERROR(__xludf.DUMMYFUNCTION("IMPORTRANGE(""https://docs.google.com/spreadsheets/d/1XL5vhW3sbDhbH9Cz0tuDiY8C3ctxq1tqvaCgkFb8cCA/edit?usp=sharing"",""มหาสารคาม!M242"")"),592274.11)</f>
        <v>592274.11</v>
      </c>
      <c r="O347" s="358">
        <f ca="1">+IF(L347&gt;0,N347*100/L347,0)</f>
        <v>25.038464448941578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IFERROR(__xludf.DUMMYFUNCTION("IMPORTRANGE(""https://docs.google.com/spreadsheets/d/1XL5vhW3sbDhbH9Cz0tuDiY8C3ctxq1tqvaCgkFb8cCA/edit?usp=sharing"",""มหาสารคาม!I244"")"),300)</f>
        <v>300</v>
      </c>
      <c r="J349" s="371">
        <f ca="1">IFERROR(__xludf.DUMMYFUNCTION("IMPORTRANGE(""https://docs.google.com/spreadsheets/d/1XL5vhW3sbDhbH9Cz0tuDiY8C3ctxq1tqvaCgkFb8cCA/edit?usp=sharing"",""มหาสารคาม!J244"")"),0)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IFERROR(__xludf.DUMMYFUNCTION("IMPORTRANGE(""https://docs.google.com/spreadsheets/d/1XL5vhW3sbDhbH9Cz0tuDiY8C3ctxq1tqvaCgkFb8cCA/edit?usp=sharing"",""มหาสารคาม!L244"")"),616300)</f>
        <v>616300</v>
      </c>
      <c r="M349" s="373"/>
      <c r="N349" s="373">
        <f ca="1">IFERROR(__xludf.DUMMYFUNCTION("IMPORTRANGE(""https://docs.google.com/spreadsheets/d/1XL5vhW3sbDhbH9Cz0tuDiY8C3ctxq1tqvaCgkFb8cCA/edit?usp=sharing"",""มหาสารคาม!M244"")"),124807.48)</f>
        <v>124807.48</v>
      </c>
      <c r="O349" s="373">
        <f ca="1">+IF(L349&gt;0,N349*100/L349,0)</f>
        <v>20.251092000649034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IFERROR(__xludf.DUMMYFUNCTION("IMPORTRANGE(""https://docs.google.com/spreadsheets/d/1XL5vhW3sbDhbH9Cz0tuDiY8C3ctxq1tqvaCgkFb8cCA/edit?usp=sharing"",""มหาสารคาม!I245"")"),140)</f>
        <v>140</v>
      </c>
      <c r="J350" s="371">
        <f ca="1">IFERROR(__xludf.DUMMYFUNCTION("IMPORTRANGE(""https://docs.google.com/spreadsheets/d/1XL5vhW3sbDhbH9Cz0tuDiY8C3ctxq1tqvaCgkFb8cCA/edit?usp=sharing"",""มหาสารคาม!J245"")"),140)</f>
        <v>140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IFERROR(__xludf.DUMMYFUNCTION("IMPORTRANGE(""https://docs.google.com/spreadsheets/d/1XL5vhW3sbDhbH9Cz0tuDiY8C3ctxq1tqvaCgkFb8cCA/edit?usp=sharing"",""มหาสารคาม!L246"")"),0)</f>
        <v>0</v>
      </c>
      <c r="M351" s="164"/>
      <c r="N351" s="164">
        <f ca="1">IFERROR(__xludf.DUMMYFUNCTION("IMPORTRANGE(""https://docs.google.com/spreadsheets/d/1XL5vhW3sbDhbH9Cz0tuDiY8C3ctxq1tqvaCgkFb8cCA/edit?usp=sharing"",""มหาสารคาม!M246"")"),0)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IFERROR(__xludf.DUMMYFUNCTION("IMPORTRANGE(""https://docs.google.com/spreadsheets/d/1XL5vhW3sbDhbH9Cz0tuDiY8C3ctxq1tqvaCgkFb8cCA/edit?usp=sharing"",""มหาสารคาม!L247"")"),616300)</f>
        <v>616300</v>
      </c>
      <c r="M352" s="165"/>
      <c r="N352" s="164">
        <f ca="1">IFERROR(__xludf.DUMMYFUNCTION("IMPORTRANGE(""https://docs.google.com/spreadsheets/d/1XL5vhW3sbDhbH9Cz0tuDiY8C3ctxq1tqvaCgkFb8cCA/edit?usp=sharing"",""มหาสารคาม!M247"")"),124807.48)</f>
        <v>124807.48</v>
      </c>
      <c r="O352" s="165">
        <f t="shared" ca="1" si="105"/>
        <v>20.251092000649034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IFERROR(__xludf.DUMMYFUNCTION("IMPORTRANGE(""https://docs.google.com/spreadsheets/d/1XL5vhW3sbDhbH9Cz0tuDiY8C3ctxq1tqvaCgkFb8cCA/edit?usp=sharing"",""มหาสารคาม!L248"")"),0)</f>
        <v>0</v>
      </c>
      <c r="M353" s="169"/>
      <c r="N353" s="169">
        <f ca="1">IFERROR(__xludf.DUMMYFUNCTION("IMPORTRANGE(""https://docs.google.com/spreadsheets/d/1XL5vhW3sbDhbH9Cz0tuDiY8C3ctxq1tqvaCgkFb8cCA/edit?usp=sharing"",""มหาสารคาม!M248"")"),0)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IFERROR(__xludf.DUMMYFUNCTION("IMPORTRANGE(""https://docs.google.com/spreadsheets/d/1XL5vhW3sbDhbH9Cz0tuDiY8C3ctxq1tqvaCgkFb8cCA/edit?usp=sharing"",""มหาสารคาม!L249"")"),616300)</f>
        <v>616300</v>
      </c>
      <c r="M354" s="169"/>
      <c r="N354" s="168">
        <f ca="1">IFERROR(__xludf.DUMMYFUNCTION("IMPORTRANGE(""https://docs.google.com/spreadsheets/d/1XL5vhW3sbDhbH9Cz0tuDiY8C3ctxq1tqvaCgkFb8cCA/edit?usp=sharing"",""มหาสารคาม!M249"")"),124807.48)</f>
        <v>124807.48</v>
      </c>
      <c r="O354" s="169">
        <f t="shared" ca="1" si="105"/>
        <v>20.251092000649034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IFERROR(__xludf.DUMMYFUNCTION("IMPORTRANGE(""https://docs.google.com/spreadsheets/d/1XL5vhW3sbDhbH9Cz0tuDiY8C3ctxq1tqvaCgkFb8cCA/edit?usp=sharing"",""มหาสารคาม!M250"")"),55752)</f>
        <v>55752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IFERROR(__xludf.DUMMYFUNCTION("IMPORTRANGE(""https://docs.google.com/spreadsheets/d/1XL5vhW3sbDhbH9Cz0tuDiY8C3ctxq1tqvaCgkFb8cCA/edit?usp=sharing"",""มหาสารคาม!M251"")"),0)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IFERROR(__xludf.DUMMYFUNCTION("IMPORTRANGE(""https://docs.google.com/spreadsheets/d/1XL5vhW3sbDhbH9Cz0tuDiY8C3ctxq1tqvaCgkFb8cCA/edit?usp=sharing"",""มหาสารคาม!M252"")"),64935.48)</f>
        <v>64935.48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IFERROR(__xludf.DUMMYFUNCTION("IMPORTRANGE(""https://docs.google.com/spreadsheets/d/1XL5vhW3sbDhbH9Cz0tuDiY8C3ctxq1tqvaCgkFb8cCA/edit?usp=sharing"",""มหาสารคาม!M253"")"),4120)</f>
        <v>4120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IFERROR(__xludf.DUMMYFUNCTION("IMPORTRANGE(""https://docs.google.com/spreadsheets/d/1XL5vhW3sbDhbH9Cz0tuDiY8C3ctxq1tqvaCgkFb8cCA/edit?usp=sharing"",""มหาสารคาม!J255"")"),0)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IFERROR(__xludf.DUMMYFUNCTION("IMPORTRANGE(""https://docs.google.com/spreadsheets/d/1XL5vhW3sbDhbH9Cz0tuDiY8C3ctxq1tqvaCgkFb8cCA/edit?usp=sharing"",""มหาสารคาม!J256"")"),1)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IFERROR(__xludf.DUMMYFUNCTION("IMPORTRANGE(""https://docs.google.com/spreadsheets/d/1XL5vhW3sbDhbH9Cz0tuDiY8C3ctxq1tqvaCgkFb8cCA/edit?usp=sharing"",""มหาสารคาม!J257"")"),1)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IFERROR(__xludf.DUMMYFUNCTION("IMPORTRANGE(""https://docs.google.com/spreadsheets/d/1XL5vhW3sbDhbH9Cz0tuDiY8C3ctxq1tqvaCgkFb8cCA/edit?usp=sharing"",""มหาสารคาม!J258"")"),1)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IFERROR(__xludf.DUMMYFUNCTION("IMPORTRANGE(""https://docs.google.com/spreadsheets/d/1XL5vhW3sbDhbH9Cz0tuDiY8C3ctxq1tqvaCgkFb8cCA/edit?usp=sharing"",""มหาสารคาม!J166"")"),0)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IFERROR(__xludf.DUMMYFUNCTION("IMPORTRANGE(""https://docs.google.com/spreadsheets/d/1XL5vhW3sbDhbH9Cz0tuDiY8C3ctxq1tqvaCgkFb8cCA/edit?usp=sharing"",""มหาสารคาม!J166"")"),0)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IFERROR(__xludf.DUMMYFUNCTION("IMPORTRANGE(""https://docs.google.com/spreadsheets/d/1XL5vhW3sbDhbH9Cz0tuDiY8C3ctxq1tqvaCgkFb8cCA/edit?usp=sharing"",""มหาสารคาม!J166"")"),0)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IFERROR(__xludf.DUMMYFUNCTION("IMPORTRANGE(""https://docs.google.com/spreadsheets/d/1XL5vhW3sbDhbH9Cz0tuDiY8C3ctxq1tqvaCgkFb8cCA/edit?usp=sharing"",""มหาสารคาม!J166"")"),0)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IFERROR(__xludf.DUMMYFUNCTION("IMPORTRANGE(""https://docs.google.com/spreadsheets/d/1XL5vhW3sbDhbH9Cz0tuDiY8C3ctxq1tqvaCgkFb8cCA/edit?usp=sharing"",""มหาสารคาม!I263"")"),140)</f>
        <v>140</v>
      </c>
      <c r="J368" s="188">
        <f ca="1">IFERROR(__xludf.DUMMYFUNCTION("IMPORTRANGE(""https://docs.google.com/spreadsheets/d/1XL5vhW3sbDhbH9Cz0tuDiY8C3ctxq1tqvaCgkFb8cCA/edit?usp=sharing"",""มหาสารคาม!J263"")"),140)</f>
        <v>140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IFERROR(__xludf.DUMMYFUNCTION("IMPORTRANGE(""https://docs.google.com/spreadsheets/d/1XL5vhW3sbDhbH9Cz0tuDiY8C3ctxq1tqvaCgkFb8cCA/edit?usp=sharing"",""มหาสารคาม!I164"")"),0)</f>
        <v>0</v>
      </c>
      <c r="J369" s="204">
        <f ca="1">IFERROR(__xludf.DUMMYFUNCTION("IMPORTRANGE(""https://docs.google.com/spreadsheets/d/1XL5vhW3sbDhbH9Cz0tuDiY8C3ctxq1tqvaCgkFb8cCA/edit?usp=sharing"",""มหาสารคาม!J164"")"),0)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293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IFERROR(__xludf.DUMMYFUNCTION("IMPORTRANGE(""https://docs.google.com/spreadsheets/d/1XL5vhW3sbDhbH9Cz0tuDiY8C3ctxq1tqvaCgkFb8cCA/edit?usp=sharing"",""มหาสารคาม!I265"")"),140)</f>
        <v>140</v>
      </c>
      <c r="J370" s="204">
        <f ca="1">IFERROR(__xludf.DUMMYFUNCTION("IMPORTRANGE(""https://docs.google.com/spreadsheets/d/1XL5vhW3sbDhbH9Cz0tuDiY8C3ctxq1tqvaCgkFb8cCA/edit?usp=sharing"",""มหาสารคาม!J265"")"),140)</f>
        <v>140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IFERROR(__xludf.DUMMYFUNCTION("IMPORTRANGE(""https://docs.google.com/spreadsheets/d/1XL5vhW3sbDhbH9Cz0tuDiY8C3ctxq1tqvaCgkFb8cCA/edit?usp=sharing"",""มหาสารคาม!I164"")"),0)</f>
        <v>0</v>
      </c>
      <c r="J371" s="189">
        <f ca="1">IFERROR(__xludf.DUMMYFUNCTION("IMPORTRANGE(""https://docs.google.com/spreadsheets/d/1XL5vhW3sbDhbH9Cz0tuDiY8C3ctxq1tqvaCgkFb8cCA/edit?usp=sharing"",""มหาสารคาม!J164"")"),0)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293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IFERROR(__xludf.DUMMYFUNCTION("IMPORTRANGE(""https://docs.google.com/spreadsheets/d/1XL5vhW3sbDhbH9Cz0tuDiY8C3ctxq1tqvaCgkFb8cCA/edit?usp=sharing"",""มหาสารคาม!I267"")"),140)</f>
        <v>140</v>
      </c>
      <c r="J372" s="189">
        <f ca="1">IFERROR(__xludf.DUMMYFUNCTION("IMPORTRANGE(""https://docs.google.com/spreadsheets/d/1XL5vhW3sbDhbH9Cz0tuDiY8C3ctxq1tqvaCgkFb8cCA/edit?usp=sharing"",""มหาสารคาม!J267"")"),140)</f>
        <v>140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IFERROR(__xludf.DUMMYFUNCTION("IMPORTRANGE(""https://docs.google.com/spreadsheets/d/1XL5vhW3sbDhbH9Cz0tuDiY8C3ctxq1tqvaCgkFb8cCA/edit?usp=sharing"",""มหาสารคาม!I164"")"),0)</f>
        <v>0</v>
      </c>
      <c r="J373" s="204">
        <f ca="1">IFERROR(__xludf.DUMMYFUNCTION("IMPORTRANGE(""https://docs.google.com/spreadsheets/d/1XL5vhW3sbDhbH9Cz0tuDiY8C3ctxq1tqvaCgkFb8cCA/edit?usp=sharing"",""มหาสารคาม!J164"")"),0)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IFERROR(__xludf.DUMMYFUNCTION("IMPORTRANGE(""https://docs.google.com/spreadsheets/d/1XL5vhW3sbDhbH9Cz0tuDiY8C3ctxq1tqvaCgkFb8cCA/edit?usp=sharing"",""มหาสารคาม!I164"")"),0)</f>
        <v>0</v>
      </c>
      <c r="J374" s="188">
        <f ca="1">IFERROR(__xludf.DUMMYFUNCTION("IMPORTRANGE(""https://docs.google.com/spreadsheets/d/1XL5vhW3sbDhbH9Cz0tuDiY8C3ctxq1tqvaCgkFb8cCA/edit?usp=sharing"",""มหาสารคาม!J164"")"),0)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IFERROR(__xludf.DUMMYFUNCTION("IMPORTRANGE(""https://docs.google.com/spreadsheets/d/1XL5vhW3sbDhbH9Cz0tuDiY8C3ctxq1tqvaCgkFb8cCA/edit?usp=sharing"",""มหาสารคาม!I270"")"),300)</f>
        <v>300</v>
      </c>
      <c r="J375" s="188">
        <f ca="1">IFERROR(__xludf.DUMMYFUNCTION("IMPORTRANGE(""https://docs.google.com/spreadsheets/d/1XL5vhW3sbDhbH9Cz0tuDiY8C3ctxq1tqvaCgkFb8cCA/edit?usp=sharing"",""มหาสารคาม!J270"")"),0)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IFERROR(__xludf.DUMMYFUNCTION("IMPORTRANGE(""https://docs.google.com/spreadsheets/d/1XL5vhW3sbDhbH9Cz0tuDiY8C3ctxq1tqvaCgkFb8cCA/edit?usp=sharing"",""มหาสารคาม!I271"")"),25)</f>
        <v>25</v>
      </c>
      <c r="J376" s="189">
        <f ca="1">IFERROR(__xludf.DUMMYFUNCTION("IMPORTRANGE(""https://docs.google.com/spreadsheets/d/1XL5vhW3sbDhbH9Cz0tuDiY8C3ctxq1tqvaCgkFb8cCA/edit?usp=sharing"",""มหาสารคาม!J271"")"),0)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IFERROR(__xludf.DUMMYFUNCTION("IMPORTRANGE(""https://docs.google.com/spreadsheets/d/1XL5vhW3sbDhbH9Cz0tuDiY8C3ctxq1tqvaCgkFb8cCA/edit?usp=sharing"",""มหาสารคาม!I272"")"),275)</f>
        <v>275</v>
      </c>
      <c r="J377" s="204">
        <f ca="1">IFERROR(__xludf.DUMMYFUNCTION("IMPORTRANGE(""https://docs.google.com/spreadsheets/d/1XL5vhW3sbDhbH9Cz0tuDiY8C3ctxq1tqvaCgkFb8cCA/edit?usp=sharing"",""มหาสารคาม!J272"")"),0)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IFERROR(__xludf.DUMMYFUNCTION("IMPORTRANGE(""https://docs.google.com/spreadsheets/d/1XL5vhW3sbDhbH9Cz0tuDiY8C3ctxq1tqvaCgkFb8cCA/edit?usp=sharing"",""มหาสารคาม!J273"")"),0)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IFERROR(__xludf.DUMMYFUNCTION("IMPORTRANGE(""https://docs.google.com/spreadsheets/d/1XL5vhW3sbDhbH9Cz0tuDiY8C3ctxq1tqvaCgkFb8cCA/edit?usp=sharing"",""มหาสารคาม!J274"")"),0)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IFERROR(__xludf.DUMMYFUNCTION("IMPORTRANGE(""https://docs.google.com/spreadsheets/d/1XL5vhW3sbDhbH9Cz0tuDiY8C3ctxq1tqvaCgkFb8cCA/edit?usp=sharing"",""มหาสารคาม!I275"")"),1000)</f>
        <v>1000</v>
      </c>
      <c r="J380" s="371">
        <f ca="1">IFERROR(__xludf.DUMMYFUNCTION("IMPORTRANGE(""https://docs.google.com/spreadsheets/d/1XL5vhW3sbDhbH9Cz0tuDiY8C3ctxq1tqvaCgkFb8cCA/edit?usp=sharing"",""มหาสารคาม!J275"")"),0)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IFERROR(__xludf.DUMMYFUNCTION("IMPORTRANGE(""https://docs.google.com/spreadsheets/d/1XL5vhW3sbDhbH9Cz0tuDiY8C3ctxq1tqvaCgkFb8cCA/edit?usp=sharing"",""มหาสารคาม!L275"")"),1028520)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IFERROR(__xludf.DUMMYFUNCTION("IMPORTRANGE(""https://docs.google.com/spreadsheets/d/1XL5vhW3sbDhbH9Cz0tuDiY8C3ctxq1tqvaCgkFb8cCA/edit?usp=sharing"",""มหาสารคาม!M275"")"),151730.65)</f>
        <v>151730.65</v>
      </c>
      <c r="O380" s="373">
        <f ca="1">+IF(L380&gt;0,N380*100/L380,0)</f>
        <v>14.752328588651654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IFERROR(__xludf.DUMMYFUNCTION("IMPORTRANGE(""https://docs.google.com/spreadsheets/d/1XL5vhW3sbDhbH9Cz0tuDiY8C3ctxq1tqvaCgkFb8cCA/edit?usp=sharing"",""มหาสารคาม!I276"")"),100)</f>
        <v>100</v>
      </c>
      <c r="J381" s="371">
        <f ca="1">IFERROR(__xludf.DUMMYFUNCTION("IMPORTRANGE(""https://docs.google.com/spreadsheets/d/1XL5vhW3sbDhbH9Cz0tuDiY8C3ctxq1tqvaCgkFb8cCA/edit?usp=sharing"",""มหาสารคาม!J276"")"),100)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IFERROR(__xludf.DUMMYFUNCTION("IMPORTRANGE(""https://docs.google.com/spreadsheets/d/1XL5vhW3sbDhbH9Cz0tuDiY8C3ctxq1tqvaCgkFb8cCA/edit?usp=sharing"",""มหาสารคาม!L277"")"),0)</f>
        <v>0</v>
      </c>
      <c r="M382" s="164"/>
      <c r="N382" s="164">
        <f ca="1">IFERROR(__xludf.DUMMYFUNCTION("IMPORTRANGE(""https://docs.google.com/spreadsheets/d/1XL5vhW3sbDhbH9Cz0tuDiY8C3ctxq1tqvaCgkFb8cCA/edit?usp=sharing"",""มหาสารคาม!M277"")"),0)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IFERROR(__xludf.DUMMYFUNCTION("IMPORTRANGE(""https://docs.google.com/spreadsheets/d/1XL5vhW3sbDhbH9Cz0tuDiY8C3ctxq1tqvaCgkFb8cCA/edit?usp=sharing"",""มหาสารคาม!L278"")"),1028520)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IFERROR(__xludf.DUMMYFUNCTION("IMPORTRANGE(""https://docs.google.com/spreadsheets/d/1XL5vhW3sbDhbH9Cz0tuDiY8C3ctxq1tqvaCgkFb8cCA/edit?usp=sharing"",""มหาสารคาม!M278"")"),151730.65)</f>
        <v>151730.65</v>
      </c>
      <c r="O383" s="165">
        <f t="shared" ca="1" si="109"/>
        <v>14.752328588651654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IFERROR(__xludf.DUMMYFUNCTION("IMPORTRANGE(""https://docs.google.com/spreadsheets/d/1XL5vhW3sbDhbH9Cz0tuDiY8C3ctxq1tqvaCgkFb8cCA/edit?usp=sharing"",""มหาสารคาม!L279"")"),0)</f>
        <v>0</v>
      </c>
      <c r="M384" s="169"/>
      <c r="N384" s="169">
        <f ca="1">IFERROR(__xludf.DUMMYFUNCTION("IMPORTRANGE(""https://docs.google.com/spreadsheets/d/1XL5vhW3sbDhbH9Cz0tuDiY8C3ctxq1tqvaCgkFb8cCA/edit?usp=sharing"",""มหาสารคาม!M279"")"),0)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IFERROR(__xludf.DUMMYFUNCTION("IMPORTRANGE(""https://docs.google.com/spreadsheets/d/1XL5vhW3sbDhbH9Cz0tuDiY8C3ctxq1tqvaCgkFb8cCA/edit?usp=sharing"",""มหาสารคาม!L280"")"),1028520)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IFERROR(__xludf.DUMMYFUNCTION("IMPORTRANGE(""https://docs.google.com/spreadsheets/d/1XL5vhW3sbDhbH9Cz0tuDiY8C3ctxq1tqvaCgkFb8cCA/edit?usp=sharing"",""มหาสารคาม!M280"")"),151730.65)</f>
        <v>151730.65</v>
      </c>
      <c r="O385" s="169">
        <f t="shared" ca="1" si="109"/>
        <v>14.752328588651654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IFERROR(__xludf.DUMMYFUNCTION("IMPORTRANGE(""https://docs.google.com/spreadsheets/d/1XL5vhW3sbDhbH9Cz0tuDiY8C3ctxq1tqvaCgkFb8cCA/edit?usp=sharing"",""มหาสารคาม!M281"")"),77000)</f>
        <v>77000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IFERROR(__xludf.DUMMYFUNCTION("IMPORTRANGE(""https://docs.google.com/spreadsheets/d/1XL5vhW3sbDhbH9Cz0tuDiY8C3ctxq1tqvaCgkFb8cCA/edit?usp=sharing"",""มหาสารคาม!M282"")"),0)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IFERROR(__xludf.DUMMYFUNCTION("IMPORTRANGE(""https://docs.google.com/spreadsheets/d/1XL5vhW3sbDhbH9Cz0tuDiY8C3ctxq1tqvaCgkFb8cCA/edit?usp=sharing"",""มหาสารคาม!M283"")"),64580.65)</f>
        <v>64580.65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IFERROR(__xludf.DUMMYFUNCTION("IMPORTRANGE(""https://docs.google.com/spreadsheets/d/1XL5vhW3sbDhbH9Cz0tuDiY8C3ctxq1tqvaCgkFb8cCA/edit?usp=sharing"",""มหาสารคาม!M284"")"),10150)</f>
        <v>10150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IFERROR(__xludf.DUMMYFUNCTION("IMPORTRANGE(""https://docs.google.com/spreadsheets/d/1XL5vhW3sbDhbH9Cz0tuDiY8C3ctxq1tqvaCgkFb8cCA/edit?usp=sharing"",""มหาสารคาม!J286"")"),0)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IFERROR(__xludf.DUMMYFUNCTION("IMPORTRANGE(""https://docs.google.com/spreadsheets/d/1XL5vhW3sbDhbH9Cz0tuDiY8C3ctxq1tqvaCgkFb8cCA/edit?usp=sharing"",""มหาสารคาม!J287"")"),1)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IFERROR(__xludf.DUMMYFUNCTION("IMPORTRANGE(""https://docs.google.com/spreadsheets/d/1XL5vhW3sbDhbH9Cz0tuDiY8C3ctxq1tqvaCgkFb8cCA/edit?usp=sharing"",""มหาสารคาม!J288"")"),1)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IFERROR(__xludf.DUMMYFUNCTION("IMPORTRANGE(""https://docs.google.com/spreadsheets/d/1XL5vhW3sbDhbH9Cz0tuDiY8C3ctxq1tqvaCgkFb8cCA/edit?usp=sharing"",""มหาสารคาม!J289"")"),1)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IFERROR(__xludf.DUMMYFUNCTION("IMPORTRANGE(""https://docs.google.com/spreadsheets/d/1XL5vhW3sbDhbH9Cz0tuDiY8C3ctxq1tqvaCgkFb8cCA/edit?usp=sharing"",""มหาสารคาม!I291"")"),100)</f>
        <v>100</v>
      </c>
      <c r="J396" s="198">
        <f ca="1">IFERROR(__xludf.DUMMYFUNCTION("IMPORTRANGE(""https://docs.google.com/spreadsheets/d/1XL5vhW3sbDhbH9Cz0tuDiY8C3ctxq1tqvaCgkFb8cCA/edit?usp=sharing"",""มหาสารคาม!J291"")"),100)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IFERROR(__xludf.DUMMYFUNCTION("IMPORTRANGE(""https://docs.google.com/spreadsheets/d/1XL5vhW3sbDhbH9Cz0tuDiY8C3ctxq1tqvaCgkFb8cCA/edit?usp=sharing"",""มหาสารคาม!I292"")"),1000)</f>
        <v>1000</v>
      </c>
      <c r="J397" s="198">
        <f ca="1">IFERROR(__xludf.DUMMYFUNCTION("IMPORTRANGE(""https://docs.google.com/spreadsheets/d/1XL5vhW3sbDhbH9Cz0tuDiY8C3ctxq1tqvaCgkFb8cCA/edit?usp=sharing"",""มหาสารคาม!J292"")"),0)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IFERROR(__xludf.DUMMYFUNCTION("IMPORTRANGE(""https://docs.google.com/spreadsheets/d/1XL5vhW3sbDhbH9Cz0tuDiY8C3ctxq1tqvaCgkFb8cCA/edit?usp=sharing"",""มหาสารคาม!I293"")"),100)</f>
        <v>100</v>
      </c>
      <c r="J398" s="198">
        <f ca="1">IFERROR(__xludf.DUMMYFUNCTION("IMPORTRANGE(""https://docs.google.com/spreadsheets/d/1XL5vhW3sbDhbH9Cz0tuDiY8C3ctxq1tqvaCgkFb8cCA/edit?usp=sharing"",""มหาสารคาม!J293"")"),0)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IFERROR(__xludf.DUMMYFUNCTION("IMPORTRANGE(""https://docs.google.com/spreadsheets/d/1XL5vhW3sbDhbH9Cz0tuDiY8C3ctxq1tqvaCgkFb8cCA/edit?usp=sharing"",""มหาสารคาม!J294"")"),0)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IFERROR(__xludf.DUMMYFUNCTION("IMPORTRANGE(""https://docs.google.com/spreadsheets/d/1XL5vhW3sbDhbH9Cz0tuDiY8C3ctxq1tqvaCgkFb8cCA/edit?usp=sharing"",""มหาสารคาม!J295"")"),0)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IFERROR(__xludf.DUMMYFUNCTION("IMPORTRANGE(""https://docs.google.com/spreadsheets/d/1XL5vhW3sbDhbH9Cz0tuDiY8C3ctxq1tqvaCgkFb8cCA/edit?usp=sharing"",""มหาสารคาม!I296"")"),210)</f>
        <v>210</v>
      </c>
      <c r="J401" s="371">
        <f ca="1">IFERROR(__xludf.DUMMYFUNCTION("IMPORTRANGE(""https://docs.google.com/spreadsheets/d/1XL5vhW3sbDhbH9Cz0tuDiY8C3ctxq1tqvaCgkFb8cCA/edit?usp=sharing"",""มหาสารคาม!J296"")"),210)</f>
        <v>210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IFERROR(__xludf.DUMMYFUNCTION("IMPORTRANGE(""https://docs.google.com/spreadsheets/d/1XL5vhW3sbDhbH9Cz0tuDiY8C3ctxq1tqvaCgkFb8cCA/edit?usp=sharing"",""มหาสารคาม!L296"")"),234280)</f>
        <v>234280</v>
      </c>
      <c r="M401" s="373"/>
      <c r="N401" s="373">
        <f ca="1">IFERROR(__xludf.DUMMYFUNCTION("IMPORTRANGE(""https://docs.google.com/spreadsheets/d/1XL5vhW3sbDhbH9Cz0tuDiY8C3ctxq1tqvaCgkFb8cCA/edit?usp=sharing"",""มหาสารคาม!M296"")"),92399)</f>
        <v>92399</v>
      </c>
      <c r="O401" s="373">
        <f ca="1">+IF(L401&gt;0,N401*100/L401,0)</f>
        <v>39.439559501451257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IFERROR(__xludf.DUMMYFUNCTION("IMPORTRANGE(""https://docs.google.com/spreadsheets/d/1XL5vhW3sbDhbH9Cz0tuDiY8C3ctxq1tqvaCgkFb8cCA/edit?usp=sharing"",""มหาสารคาม!I297"")"),70)</f>
        <v>70</v>
      </c>
      <c r="J402" s="371">
        <f ca="1">IFERROR(__xludf.DUMMYFUNCTION("IMPORTRANGE(""https://docs.google.com/spreadsheets/d/1XL5vhW3sbDhbH9Cz0tuDiY8C3ctxq1tqvaCgkFb8cCA/edit?usp=sharing"",""มหาสารคาม!J297"")"),70)</f>
        <v>70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IFERROR(__xludf.DUMMYFUNCTION("IMPORTRANGE(""https://docs.google.com/spreadsheets/d/1XL5vhW3sbDhbH9Cz0tuDiY8C3ctxq1tqvaCgkFb8cCA/edit?usp=sharing"",""มหาสารคาม!L298"")"),0)</f>
        <v>0</v>
      </c>
      <c r="M403" s="164"/>
      <c r="N403" s="169">
        <f ca="1">IFERROR(__xludf.DUMMYFUNCTION("IMPORTRANGE(""https://docs.google.com/spreadsheets/d/1XL5vhW3sbDhbH9Cz0tuDiY8C3ctxq1tqvaCgkFb8cCA/edit?usp=sharing"",""มหาสารคาม!M298"")"),0)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IFERROR(__xludf.DUMMYFUNCTION("IMPORTRANGE(""https://docs.google.com/spreadsheets/d/1XL5vhW3sbDhbH9Cz0tuDiY8C3ctxq1tqvaCgkFb8cCA/edit?usp=sharing"",""มหาสารคาม!L299"")"),234280)</f>
        <v>234280</v>
      </c>
      <c r="M404" s="165"/>
      <c r="N404" s="169">
        <f ca="1">IFERROR(__xludf.DUMMYFUNCTION("IMPORTRANGE(""https://docs.google.com/spreadsheets/d/1XL5vhW3sbDhbH9Cz0tuDiY8C3ctxq1tqvaCgkFb8cCA/edit?usp=sharing"",""มหาสารคาม!M299"")"),92399)</f>
        <v>92399</v>
      </c>
      <c r="O404" s="169">
        <f t="shared" ca="1" si="112"/>
        <v>39.439559501451257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IFERROR(__xludf.DUMMYFUNCTION("IMPORTRANGE(""https://docs.google.com/spreadsheets/d/1XL5vhW3sbDhbH9Cz0tuDiY8C3ctxq1tqvaCgkFb8cCA/edit?usp=sharing"",""มหาสารคาม!L300"")"),0)</f>
        <v>0</v>
      </c>
      <c r="M405" s="169"/>
      <c r="N405" s="169">
        <f ca="1">IFERROR(__xludf.DUMMYFUNCTION("IMPORTRANGE(""https://docs.google.com/spreadsheets/d/1XL5vhW3sbDhbH9Cz0tuDiY8C3ctxq1tqvaCgkFb8cCA/edit?usp=sharing"",""มหาสารคาม!M300"")"),0)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IFERROR(__xludf.DUMMYFUNCTION("IMPORTRANGE(""https://docs.google.com/spreadsheets/d/1XL5vhW3sbDhbH9Cz0tuDiY8C3ctxq1tqvaCgkFb8cCA/edit?usp=sharing"",""มหาสารคาม!L301"")"),234280)</f>
        <v>234280</v>
      </c>
      <c r="M406" s="169"/>
      <c r="N406" s="169">
        <f ca="1">IFERROR(__xludf.DUMMYFUNCTION("IMPORTRANGE(""https://docs.google.com/spreadsheets/d/1XL5vhW3sbDhbH9Cz0tuDiY8C3ctxq1tqvaCgkFb8cCA/edit?usp=sharing"",""มหาสารคาม!M301"")"),92399)</f>
        <v>92399</v>
      </c>
      <c r="O406" s="169">
        <f t="shared" ca="1" si="112"/>
        <v>39.439559501451257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IFERROR(__xludf.DUMMYFUNCTION("IMPORTRANGE(""https://docs.google.com/spreadsheets/d/1XL5vhW3sbDhbH9Cz0tuDiY8C3ctxq1tqvaCgkFb8cCA/edit?usp=sharing"",""มหาสารคาม!M302"")"),89679)</f>
        <v>89679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IFERROR(__xludf.DUMMYFUNCTION("IMPORTRANGE(""https://docs.google.com/spreadsheets/d/1XL5vhW3sbDhbH9Cz0tuDiY8C3ctxq1tqvaCgkFb8cCA/edit?usp=sharing"",""มหาสารคาม!M303"")"),0)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IFERROR(__xludf.DUMMYFUNCTION("IMPORTRANGE(""https://docs.google.com/spreadsheets/d/1XL5vhW3sbDhbH9Cz0tuDiY8C3ctxq1tqvaCgkFb8cCA/edit?usp=sharing"",""มหาสารคาม!M304"")"),0)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IFERROR(__xludf.DUMMYFUNCTION("IMPORTRANGE(""https://docs.google.com/spreadsheets/d/1XL5vhW3sbDhbH9Cz0tuDiY8C3ctxq1tqvaCgkFb8cCA/edit?usp=sharing"",""มหาสารคาม!M305"")"),2720)</f>
        <v>2720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IFERROR(__xludf.DUMMYFUNCTION("IMPORTRANGE(""https://docs.google.com/spreadsheets/d/1XL5vhW3sbDhbH9Cz0tuDiY8C3ctxq1tqvaCgkFb8cCA/edit?usp=sharing"",""มหาสารคาม!J307"")"),0)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IFERROR(__xludf.DUMMYFUNCTION("IMPORTRANGE(""https://docs.google.com/spreadsheets/d/1XL5vhW3sbDhbH9Cz0tuDiY8C3ctxq1tqvaCgkFb8cCA/edit?usp=sharing"",""มหาสารคาม!J308"")"),1)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IFERROR(__xludf.DUMMYFUNCTION("IMPORTRANGE(""https://docs.google.com/spreadsheets/d/1XL5vhW3sbDhbH9Cz0tuDiY8C3ctxq1tqvaCgkFb8cCA/edit?usp=sharing"",""มหาสารคาม!J309"")"),1)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IFERROR(__xludf.DUMMYFUNCTION("IMPORTRANGE(""https://docs.google.com/spreadsheets/d/1XL5vhW3sbDhbH9Cz0tuDiY8C3ctxq1tqvaCgkFb8cCA/edit?usp=sharing"",""มหาสารคาม!J310"")"),1)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IFERROR(__xludf.DUMMYFUNCTION("IMPORTRANGE(""https://docs.google.com/spreadsheets/d/1XL5vhW3sbDhbH9Cz0tuDiY8C3ctxq1tqvaCgkFb8cCA/edit?usp=sharing"",""มหาสารคาม!I311"")"),70)</f>
        <v>70</v>
      </c>
      <c r="J416" s="201">
        <f ca="1">IFERROR(__xludf.DUMMYFUNCTION("IMPORTRANGE(""https://docs.google.com/spreadsheets/d/1XL5vhW3sbDhbH9Cz0tuDiY8C3ctxq1tqvaCgkFb8cCA/edit?usp=sharing"",""มหาสารคาม!J311"")"),70)</f>
        <v>70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IFERROR(__xludf.DUMMYFUNCTION("IMPORTRANGE(""https://docs.google.com/spreadsheets/d/1XL5vhW3sbDhbH9Cz0tuDiY8C3ctxq1tqvaCgkFb8cCA/edit?usp=sharing"",""มหาสารคาม!I312"")"),20)</f>
        <v>20</v>
      </c>
      <c r="J417" s="392">
        <f ca="1">IFERROR(__xludf.DUMMYFUNCTION("IMPORTRANGE(""https://docs.google.com/spreadsheets/d/1XL5vhW3sbDhbH9Cz0tuDiY8C3ctxq1tqvaCgkFb8cCA/edit?usp=sharing"",""มหาสารคาม!J312"")"),20)</f>
        <v>20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IFERROR(__xludf.DUMMYFUNCTION("IMPORTRANGE(""https://docs.google.com/spreadsheets/d/1XL5vhW3sbDhbH9Cz0tuDiY8C3ctxq1tqvaCgkFb8cCA/edit?usp=sharing"",""มหาสารคาม!I313"")"),60)</f>
        <v>60</v>
      </c>
      <c r="J418" s="393">
        <f ca="1">IFERROR(__xludf.DUMMYFUNCTION("IMPORTRANGE(""https://docs.google.com/spreadsheets/d/1XL5vhW3sbDhbH9Cz0tuDiY8C3ctxq1tqvaCgkFb8cCA/edit?usp=sharing"",""มหาสารคาม!J313"")"),60)</f>
        <v>60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IFERROR(__xludf.DUMMYFUNCTION("IMPORTRANGE(""https://docs.google.com/spreadsheets/d/1XL5vhW3sbDhbH9Cz0tuDiY8C3ctxq1tqvaCgkFb8cCA/edit?usp=sharing"",""มหาสารคาม!I314"")"),20)</f>
        <v>20</v>
      </c>
      <c r="J419" s="394">
        <f ca="1">IFERROR(__xludf.DUMMYFUNCTION("IMPORTRANGE(""https://docs.google.com/spreadsheets/d/1XL5vhW3sbDhbH9Cz0tuDiY8C3ctxq1tqvaCgkFb8cCA/edit?usp=sharing"",""มหาสารคาม!J314"")"),20)</f>
        <v>20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IFERROR(__xludf.DUMMYFUNCTION("IMPORTRANGE(""https://docs.google.com/spreadsheets/d/1XL5vhW3sbDhbH9Cz0tuDiY8C3ctxq1tqvaCgkFb8cCA/edit?usp=sharing"",""มหาสารคาม!I315"")"),20)</f>
        <v>20</v>
      </c>
      <c r="J420" s="394">
        <f ca="1">IFERROR(__xludf.DUMMYFUNCTION("IMPORTRANGE(""https://docs.google.com/spreadsheets/d/1XL5vhW3sbDhbH9Cz0tuDiY8C3ctxq1tqvaCgkFb8cCA/edit?usp=sharing"",""มหาสารคาม!J315"")"),20)</f>
        <v>20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IFERROR(__xludf.DUMMYFUNCTION("IMPORTRANGE(""https://docs.google.com/spreadsheets/d/1XL5vhW3sbDhbH9Cz0tuDiY8C3ctxq1tqvaCgkFb8cCA/edit?usp=sharing"",""มหาสารคาม!I316"")"),40)</f>
        <v>40</v>
      </c>
      <c r="J421" s="392">
        <f ca="1">IFERROR(__xludf.DUMMYFUNCTION("IMPORTRANGE(""https://docs.google.com/spreadsheets/d/1XL5vhW3sbDhbH9Cz0tuDiY8C3ctxq1tqvaCgkFb8cCA/edit?usp=sharing"",""มหาสารคาม!J316"")"),40)</f>
        <v>40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IFERROR(__xludf.DUMMYFUNCTION("IMPORTRANGE(""https://docs.google.com/spreadsheets/d/1XL5vhW3sbDhbH9Cz0tuDiY8C3ctxq1tqvaCgkFb8cCA/edit?usp=sharing"",""มหาสารคาม!I317"")"),120)</f>
        <v>120</v>
      </c>
      <c r="J422" s="393">
        <f ca="1">IFERROR(__xludf.DUMMYFUNCTION("IMPORTRANGE(""https://docs.google.com/spreadsheets/d/1XL5vhW3sbDhbH9Cz0tuDiY8C3ctxq1tqvaCgkFb8cCA/edit?usp=sharing"",""มหาสารคาม!J317"")"),120)</f>
        <v>120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IFERROR(__xludf.DUMMYFUNCTION("IMPORTRANGE(""https://docs.google.com/spreadsheets/d/1XL5vhW3sbDhbH9Cz0tuDiY8C3ctxq1tqvaCgkFb8cCA/edit?usp=sharing"",""มหาสารคาม!I318"")"),40)</f>
        <v>40</v>
      </c>
      <c r="J423" s="394">
        <f ca="1">IFERROR(__xludf.DUMMYFUNCTION("IMPORTRANGE(""https://docs.google.com/spreadsheets/d/1XL5vhW3sbDhbH9Cz0tuDiY8C3ctxq1tqvaCgkFb8cCA/edit?usp=sharing"",""มหาสารคาม!J318"")"),40)</f>
        <v>40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IFERROR(__xludf.DUMMYFUNCTION("IMPORTRANGE(""https://docs.google.com/spreadsheets/d/1XL5vhW3sbDhbH9Cz0tuDiY8C3ctxq1tqvaCgkFb8cCA/edit?usp=sharing"",""มหาสารคาม!I319"")"),40)</f>
        <v>40</v>
      </c>
      <c r="J424" s="394">
        <f ca="1">IFERROR(__xludf.DUMMYFUNCTION("IMPORTRANGE(""https://docs.google.com/spreadsheets/d/1XL5vhW3sbDhbH9Cz0tuDiY8C3ctxq1tqvaCgkFb8cCA/edit?usp=sharing"",""มหาสารคาม!J319"")"),40)</f>
        <v>40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IFERROR(__xludf.DUMMYFUNCTION("IMPORTRANGE(""https://docs.google.com/spreadsheets/d/1XL5vhW3sbDhbH9Cz0tuDiY8C3ctxq1tqvaCgkFb8cCA/edit?usp=sharing"",""มหาสารคาม!I320"")"),40)</f>
        <v>40</v>
      </c>
      <c r="J425" s="394">
        <f ca="1">IFERROR(__xludf.DUMMYFUNCTION("IMPORTRANGE(""https://docs.google.com/spreadsheets/d/1XL5vhW3sbDhbH9Cz0tuDiY8C3ctxq1tqvaCgkFb8cCA/edit?usp=sharing"",""มหาสารคาม!J320"")"),40)</f>
        <v>40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IFERROR(__xludf.DUMMYFUNCTION("IMPORTRANGE(""https://docs.google.com/spreadsheets/d/1XL5vhW3sbDhbH9Cz0tuDiY8C3ctxq1tqvaCgkFb8cCA/edit?usp=sharing"",""มหาสารคาม!I321"")"),10)</f>
        <v>10</v>
      </c>
      <c r="J426" s="392">
        <f ca="1">IFERROR(__xludf.DUMMYFUNCTION("IMPORTRANGE(""https://docs.google.com/spreadsheets/d/1XL5vhW3sbDhbH9Cz0tuDiY8C3ctxq1tqvaCgkFb8cCA/edit?usp=sharing"",""มหาสารคาม!J321"")"),10)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IFERROR(__xludf.DUMMYFUNCTION("IMPORTRANGE(""https://docs.google.com/spreadsheets/d/1XL5vhW3sbDhbH9Cz0tuDiY8C3ctxq1tqvaCgkFb8cCA/edit?usp=sharing"",""มหาสารคาม!I322"")"),30)</f>
        <v>30</v>
      </c>
      <c r="J427" s="393">
        <f ca="1">IFERROR(__xludf.DUMMYFUNCTION("IMPORTRANGE(""https://docs.google.com/spreadsheets/d/1XL5vhW3sbDhbH9Cz0tuDiY8C3ctxq1tqvaCgkFb8cCA/edit?usp=sharing"",""มหาสารคาม!J322"")"),30)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IFERROR(__xludf.DUMMYFUNCTION("IMPORTRANGE(""https://docs.google.com/spreadsheets/d/1XL5vhW3sbDhbH9Cz0tuDiY8C3ctxq1tqvaCgkFb8cCA/edit?usp=sharing"",""มหาสารคาม!I323"")"),10)</f>
        <v>10</v>
      </c>
      <c r="J428" s="394">
        <f ca="1">IFERROR(__xludf.DUMMYFUNCTION("IMPORTRANGE(""https://docs.google.com/spreadsheets/d/1XL5vhW3sbDhbH9Cz0tuDiY8C3ctxq1tqvaCgkFb8cCA/edit?usp=sharing"",""มหาสารคาม!J323"")"),10)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IFERROR(__xludf.DUMMYFUNCTION("IMPORTRANGE(""https://docs.google.com/spreadsheets/d/1XL5vhW3sbDhbH9Cz0tuDiY8C3ctxq1tqvaCgkFb8cCA/edit?usp=sharing"",""มหาสารคาม!I324"")"),10)</f>
        <v>10</v>
      </c>
      <c r="J429" s="394">
        <f ca="1">IFERROR(__xludf.DUMMYFUNCTION("IMPORTRANGE(""https://docs.google.com/spreadsheets/d/1XL5vhW3sbDhbH9Cz0tuDiY8C3ctxq1tqvaCgkFb8cCA/edit?usp=sharing"",""มหาสารคาม!J324"")"),10)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IFERROR(__xludf.DUMMYFUNCTION("IMPORTRANGE(""https://docs.google.com/spreadsheets/d/1XL5vhW3sbDhbH9Cz0tuDiY8C3ctxq1tqvaCgkFb8cCA/edit?usp=sharing"",""มหาสารคาม!I325"")"),60)</f>
        <v>60</v>
      </c>
      <c r="J430" s="392">
        <f ca="1">IFERROR(__xludf.DUMMYFUNCTION("IMPORTRANGE(""https://docs.google.com/spreadsheets/d/1XL5vhW3sbDhbH9Cz0tuDiY8C3ctxq1tqvaCgkFb8cCA/edit?usp=sharing"",""มหาสารคาม!J325"")"),0)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IFERROR(__xludf.DUMMYFUNCTION("IMPORTRANGE(""https://docs.google.com/spreadsheets/d/1XL5vhW3sbDhbH9Cz0tuDiY8C3ctxq1tqvaCgkFb8cCA/edit?usp=sharing"",""มหาสารคาม!I326"")"),20)</f>
        <v>20</v>
      </c>
      <c r="J431" s="394">
        <f ca="1">IFERROR(__xludf.DUMMYFUNCTION("IMPORTRANGE(""https://docs.google.com/spreadsheets/d/1XL5vhW3sbDhbH9Cz0tuDiY8C3ctxq1tqvaCgkFb8cCA/edit?usp=sharing"",""มหาสารคาม!J326"")"),0)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IFERROR(__xludf.DUMMYFUNCTION("IMPORTRANGE(""https://docs.google.com/spreadsheets/d/1XL5vhW3sbDhbH9Cz0tuDiY8C3ctxq1tqvaCgkFb8cCA/edit?usp=sharing"",""มหาสารคาม!I327"")"),40)</f>
        <v>40</v>
      </c>
      <c r="J432" s="394">
        <f ca="1">IFERROR(__xludf.DUMMYFUNCTION("IMPORTRANGE(""https://docs.google.com/spreadsheets/d/1XL5vhW3sbDhbH9Cz0tuDiY8C3ctxq1tqvaCgkFb8cCA/edit?usp=sharing"",""มหาสารคาม!J327"")"),0)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IFERROR(__xludf.DUMMYFUNCTION("IMPORTRANGE(""https://docs.google.com/spreadsheets/d/1XL5vhW3sbDhbH9Cz0tuDiY8C3ctxq1tqvaCgkFb8cCA/edit?usp=sharing"",""มหาสารคาม!J328"")"),0)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IFERROR(__xludf.DUMMYFUNCTION("IMPORTRANGE(""https://docs.google.com/spreadsheets/d/1XL5vhW3sbDhbH9Cz0tuDiY8C3ctxq1tqvaCgkFb8cCA/edit?usp=sharing"",""มหาสารคาม!J329"")"),0)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IFERROR(__xludf.DUMMYFUNCTION("IMPORTRANGE(""https://docs.google.com/spreadsheets/d/1XL5vhW3sbDhbH9Cz0tuDiY8C3ctxq1tqvaCgkFb8cCA/edit?usp=sharing"",""มหาสารคาม!I330"")"),21)</f>
        <v>21</v>
      </c>
      <c r="J435" s="410">
        <f ca="1">IFERROR(__xludf.DUMMYFUNCTION("IMPORTRANGE(""https://docs.google.com/spreadsheets/d/1XL5vhW3sbDhbH9Cz0tuDiY8C3ctxq1tqvaCgkFb8cCA/edit?usp=sharing"",""มหาสารคาม!J330"")"),21)</f>
        <v>21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IFERROR(__xludf.DUMMYFUNCTION("IMPORTRANGE(""https://docs.google.com/spreadsheets/d/1XL5vhW3sbDhbH9Cz0tuDiY8C3ctxq1tqvaCgkFb8cCA/edit?usp=sharing"",""มหาสารคาม!L330"")"),101000)</f>
        <v>101000</v>
      </c>
      <c r="M435" s="412"/>
      <c r="N435" s="412">
        <f ca="1">IFERROR(__xludf.DUMMYFUNCTION("IMPORTRANGE(""https://docs.google.com/spreadsheets/d/1XL5vhW3sbDhbH9Cz0tuDiY8C3ctxq1tqvaCgkFb8cCA/edit?usp=sharing"",""มหาสารคาม!M330"")"),55606)</f>
        <v>55606</v>
      </c>
      <c r="O435" s="412">
        <f t="shared" ref="O435:O439" ca="1" si="114">+IF(L435&gt;0,N435*100/L435,0)</f>
        <v>55.055445544554452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IFERROR(__xludf.DUMMYFUNCTION("IMPORTRANGE(""https://docs.google.com/spreadsheets/d/1XL5vhW3sbDhbH9Cz0tuDiY8C3ctxq1tqvaCgkFb8cCA/edit?usp=sharing"",""มหาสารคาม!L331"")"),0)</f>
        <v>0</v>
      </c>
      <c r="M436" s="164"/>
      <c r="N436" s="169">
        <f ca="1">IFERROR(__xludf.DUMMYFUNCTION("IMPORTRANGE(""https://docs.google.com/spreadsheets/d/1XL5vhW3sbDhbH9Cz0tuDiY8C3ctxq1tqvaCgkFb8cCA/edit?usp=sharing"",""มหาสารคาม!M331"")"),0)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IFERROR(__xludf.DUMMYFUNCTION("IMPORTRANGE(""https://docs.google.com/spreadsheets/d/1XL5vhW3sbDhbH9Cz0tuDiY8C3ctxq1tqvaCgkFb8cCA/edit?usp=sharing"",""มหาสารคาม!L332"")"),101000)</f>
        <v>101000</v>
      </c>
      <c r="M437" s="165"/>
      <c r="N437" s="169">
        <f ca="1">IFERROR(__xludf.DUMMYFUNCTION("IMPORTRANGE(""https://docs.google.com/spreadsheets/d/1XL5vhW3sbDhbH9Cz0tuDiY8C3ctxq1tqvaCgkFb8cCA/edit?usp=sharing"",""มหาสารคาม!M332"")"),55606)</f>
        <v>55606</v>
      </c>
      <c r="O437" s="169">
        <f t="shared" ca="1" si="114"/>
        <v>55.055445544554452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IFERROR(__xludf.DUMMYFUNCTION("IMPORTRANGE(""https://docs.google.com/spreadsheets/d/1XL5vhW3sbDhbH9Cz0tuDiY8C3ctxq1tqvaCgkFb8cCA/edit?usp=sharing"",""มหาสารคาม!L333"")"),0)</f>
        <v>0</v>
      </c>
      <c r="M438" s="169"/>
      <c r="N438" s="169">
        <f ca="1">IFERROR(__xludf.DUMMYFUNCTION("IMPORTRANGE(""https://docs.google.com/spreadsheets/d/1XL5vhW3sbDhbH9Cz0tuDiY8C3ctxq1tqvaCgkFb8cCA/edit?usp=sharing"",""มหาสารคาม!M333"")"),0)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IFERROR(__xludf.DUMMYFUNCTION("IMPORTRANGE(""https://docs.google.com/spreadsheets/d/1XL5vhW3sbDhbH9Cz0tuDiY8C3ctxq1tqvaCgkFb8cCA/edit?usp=sharing"",""มหาสารคาม!L334"")"),101000)</f>
        <v>101000</v>
      </c>
      <c r="M439" s="169"/>
      <c r="N439" s="169">
        <f ca="1">IFERROR(__xludf.DUMMYFUNCTION("IMPORTRANGE(""https://docs.google.com/spreadsheets/d/1XL5vhW3sbDhbH9Cz0tuDiY8C3ctxq1tqvaCgkFb8cCA/edit?usp=sharing"",""มหาสารคาม!M334"")"),55606)</f>
        <v>55606</v>
      </c>
      <c r="O439" s="169">
        <f t="shared" ca="1" si="114"/>
        <v>55.055445544554452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IFERROR(__xludf.DUMMYFUNCTION("IMPORTRANGE(""https://docs.google.com/spreadsheets/d/1XL5vhW3sbDhbH9Cz0tuDiY8C3ctxq1tqvaCgkFb8cCA/edit?usp=sharing"",""มหาสารคาม!M335"")"),48986)</f>
        <v>48986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IFERROR(__xludf.DUMMYFUNCTION("IMPORTRANGE(""https://docs.google.com/spreadsheets/d/1XL5vhW3sbDhbH9Cz0tuDiY8C3ctxq1tqvaCgkFb8cCA/edit?usp=sharing"",""มหาสารคาม!M336"")"),0)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IFERROR(__xludf.DUMMYFUNCTION("IMPORTRANGE(""https://docs.google.com/spreadsheets/d/1XL5vhW3sbDhbH9Cz0tuDiY8C3ctxq1tqvaCgkFb8cCA/edit?usp=sharing"",""มหาสารคาม!M337"")"),0)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IFERROR(__xludf.DUMMYFUNCTION("IMPORTRANGE(""https://docs.google.com/spreadsheets/d/1XL5vhW3sbDhbH9Cz0tuDiY8C3ctxq1tqvaCgkFb8cCA/edit?usp=sharing"",""มหาสารคาม!M338"")"),6620)</f>
        <v>6620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IFERROR(__xludf.DUMMYFUNCTION("IMPORTRANGE(""https://docs.google.com/spreadsheets/d/1XL5vhW3sbDhbH9Cz0tuDiY8C3ctxq1tqvaCgkFb8cCA/edit?usp=sharing"",""มหาสารคาม!J340"")"),0)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IFERROR(__xludf.DUMMYFUNCTION("IMPORTRANGE(""https://docs.google.com/spreadsheets/d/1XL5vhW3sbDhbH9Cz0tuDiY8C3ctxq1tqvaCgkFb8cCA/edit?usp=sharing"",""มหาสารคาม!J341"")"),1)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IFERROR(__xludf.DUMMYFUNCTION("IMPORTRANGE(""https://docs.google.com/spreadsheets/d/1XL5vhW3sbDhbH9Cz0tuDiY8C3ctxq1tqvaCgkFb8cCA/edit?usp=sharing"",""มหาสารคาม!J342"")"),1)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IFERROR(__xludf.DUMMYFUNCTION("IMPORTRANGE(""https://docs.google.com/spreadsheets/d/1XL5vhW3sbDhbH9Cz0tuDiY8C3ctxq1tqvaCgkFb8cCA/edit?usp=sharing"",""มหาสารคาม!J343"")"),1)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IFERROR(__xludf.DUMMYFUNCTION("IMPORTRANGE(""https://docs.google.com/spreadsheets/d/1XL5vhW3sbDhbH9Cz0tuDiY8C3ctxq1tqvaCgkFb8cCA/edit?usp=sharing"",""มหาสารคาม!I344"")"),21)</f>
        <v>21</v>
      </c>
      <c r="J449" s="201">
        <f ca="1">IFERROR(__xludf.DUMMYFUNCTION("IMPORTRANGE(""https://docs.google.com/spreadsheets/d/1XL5vhW3sbDhbH9Cz0tuDiY8C3ctxq1tqvaCgkFb8cCA/edit?usp=sharing"",""มหาสารคาม!J344"")"),21)</f>
        <v>21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IFERROR(__xludf.DUMMYFUNCTION("IMPORTRANGE(""https://docs.google.com/spreadsheets/d/1XL5vhW3sbDhbH9Cz0tuDiY8C3ctxq1tqvaCgkFb8cCA/edit?usp=sharing"",""มหาสารคาม!I345"")"),21)</f>
        <v>21</v>
      </c>
      <c r="J450" s="189">
        <f ca="1">IFERROR(__xludf.DUMMYFUNCTION("IMPORTRANGE(""https://docs.google.com/spreadsheets/d/1XL5vhW3sbDhbH9Cz0tuDiY8C3ctxq1tqvaCgkFb8cCA/edit?usp=sharing"",""มหาสารคาม!J345"")"),21)</f>
        <v>21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IFERROR(__xludf.DUMMYFUNCTION("IMPORTRANGE(""https://docs.google.com/spreadsheets/d/1XL5vhW3sbDhbH9Cz0tuDiY8C3ctxq1tqvaCgkFb8cCA/edit?usp=sharing"",""มหาสารคาม!I346"")"),0)</f>
        <v>0</v>
      </c>
      <c r="J451" s="188">
        <f ca="1">IFERROR(__xludf.DUMMYFUNCTION("IMPORTRANGE(""https://docs.google.com/spreadsheets/d/1XL5vhW3sbDhbH9Cz0tuDiY8C3ctxq1tqvaCgkFb8cCA/edit?usp=sharing"",""มหาสารคาม!J346"")"),0)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IFERROR(__xludf.DUMMYFUNCTION("IMPORTRANGE(""https://docs.google.com/spreadsheets/d/1XL5vhW3sbDhbH9Cz0tuDiY8C3ctxq1tqvaCgkFb8cCA/edit?usp=sharing"",""มหาสารคาม!I347"")"),0)</f>
        <v>0</v>
      </c>
      <c r="J452" s="188">
        <f ca="1">IFERROR(__xludf.DUMMYFUNCTION("IMPORTRANGE(""https://docs.google.com/spreadsheets/d/1XL5vhW3sbDhbH9Cz0tuDiY8C3ctxq1tqvaCgkFb8cCA/edit?usp=sharing"",""มหาสารคาม!J347"")"),0)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IFERROR(__xludf.DUMMYFUNCTION("IMPORTRANGE(""https://docs.google.com/spreadsheets/d/1XL5vhW3sbDhbH9Cz0tuDiY8C3ctxq1tqvaCgkFb8cCA/edit?usp=sharing"",""มหาสารคาม!J348"")"),0)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IFERROR(__xludf.DUMMYFUNCTION("IMPORTRANGE(""https://docs.google.com/spreadsheets/d/1XL5vhW3sbDhbH9Cz0tuDiY8C3ctxq1tqvaCgkFb8cCA/edit?usp=sharing"",""มหาสารคาม!J349"")"),0)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IFERROR(__xludf.DUMMYFUNCTION("IMPORTRANGE(""https://docs.google.com/spreadsheets/d/1XL5vhW3sbDhbH9Cz0tuDiY8C3ctxq1tqvaCgkFb8cCA/edit?usp=sharing"",""มหาสารคาม!I350"")"),24987)</f>
        <v>24987</v>
      </c>
      <c r="J455" s="371">
        <f ca="1">IFERROR(__xludf.DUMMYFUNCTION("IMPORTRANGE(""https://docs.google.com/spreadsheets/d/1XL5vhW3sbDhbH9Cz0tuDiY8C3ctxq1tqvaCgkFb8cCA/edit?usp=sharing"",""มหาสารคาม!J350"")"),0)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IFERROR(__xludf.DUMMYFUNCTION("IMPORTRANGE(""https://docs.google.com/spreadsheets/d/1XL5vhW3sbDhbH9Cz0tuDiY8C3ctxq1tqvaCgkFb8cCA/edit?usp=sharing"",""มหาสารคาม!L350"")"),209637)</f>
        <v>209637</v>
      </c>
      <c r="M455" s="373"/>
      <c r="N455" s="373">
        <f ca="1">IFERROR(__xludf.DUMMYFUNCTION("IMPORTRANGE(""https://docs.google.com/spreadsheets/d/1XL5vhW3sbDhbH9Cz0tuDiY8C3ctxq1tqvaCgkFb8cCA/edit?usp=sharing"",""มหาสารคาม!M350"")"),56035.5)</f>
        <v>56035.5</v>
      </c>
      <c r="O455" s="373">
        <f t="shared" ref="O455:O459" ca="1" si="116">+IF(L455&gt;0,N455*100/L455,0)</f>
        <v>26.729775755234048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IFERROR(__xludf.DUMMYFUNCTION("IMPORTRANGE(""https://docs.google.com/spreadsheets/d/1XL5vhW3sbDhbH9Cz0tuDiY8C3ctxq1tqvaCgkFb8cCA/edit?usp=sharing"",""มหาสารคาม!L351"")"),0)</f>
        <v>0</v>
      </c>
      <c r="M456" s="164"/>
      <c r="N456" s="169">
        <f ca="1">IFERROR(__xludf.DUMMYFUNCTION("IMPORTRANGE(""https://docs.google.com/spreadsheets/d/1XL5vhW3sbDhbH9Cz0tuDiY8C3ctxq1tqvaCgkFb8cCA/edit?usp=sharing"",""มหาสารคาม!M351"")"),0)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IFERROR(__xludf.DUMMYFUNCTION("IMPORTRANGE(""https://docs.google.com/spreadsheets/d/1XL5vhW3sbDhbH9Cz0tuDiY8C3ctxq1tqvaCgkFb8cCA/edit?usp=sharing"",""มหาสารคาม!L352"")"),209637)</f>
        <v>209637</v>
      </c>
      <c r="M457" s="165"/>
      <c r="N457" s="169">
        <f ca="1">IFERROR(__xludf.DUMMYFUNCTION("IMPORTRANGE(""https://docs.google.com/spreadsheets/d/1XL5vhW3sbDhbH9Cz0tuDiY8C3ctxq1tqvaCgkFb8cCA/edit?usp=sharing"",""มหาสารคาม!M352"")"),56035.5)</f>
        <v>56035.5</v>
      </c>
      <c r="O457" s="169">
        <f t="shared" ca="1" si="116"/>
        <v>26.729775755234048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IFERROR(__xludf.DUMMYFUNCTION("IMPORTRANGE(""https://docs.google.com/spreadsheets/d/1XL5vhW3sbDhbH9Cz0tuDiY8C3ctxq1tqvaCgkFb8cCA/edit?usp=sharing"",""มหาสารคาม!L353"")"),0)</f>
        <v>0</v>
      </c>
      <c r="M458" s="169"/>
      <c r="N458" s="169">
        <f ca="1">IFERROR(__xludf.DUMMYFUNCTION("IMPORTRANGE(""https://docs.google.com/spreadsheets/d/1XL5vhW3sbDhbH9Cz0tuDiY8C3ctxq1tqvaCgkFb8cCA/edit?usp=sharing"",""มหาสารคาม!M353"")"),0)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IFERROR(__xludf.DUMMYFUNCTION("IMPORTRANGE(""https://docs.google.com/spreadsheets/d/1XL5vhW3sbDhbH9Cz0tuDiY8C3ctxq1tqvaCgkFb8cCA/edit?usp=sharing"",""มหาสารคาม!L354"")"),209637)</f>
        <v>209637</v>
      </c>
      <c r="M459" s="169"/>
      <c r="N459" s="169">
        <f ca="1">IFERROR(__xludf.DUMMYFUNCTION("IMPORTRANGE(""https://docs.google.com/spreadsheets/d/1XL5vhW3sbDhbH9Cz0tuDiY8C3ctxq1tqvaCgkFb8cCA/edit?usp=sharing"",""มหาสารคาม!M354"")"),56035.5)</f>
        <v>56035.5</v>
      </c>
      <c r="O459" s="169">
        <f t="shared" ca="1" si="116"/>
        <v>26.729775755234048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IFERROR(__xludf.DUMMYFUNCTION("IMPORTRANGE(""https://docs.google.com/spreadsheets/d/1XL5vhW3sbDhbH9Cz0tuDiY8C3ctxq1tqvaCgkFb8cCA/edit?usp=sharing"",""มหาสารคาม!M355"")"),0)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IFERROR(__xludf.DUMMYFUNCTION("IMPORTRANGE(""https://docs.google.com/spreadsheets/d/1XL5vhW3sbDhbH9Cz0tuDiY8C3ctxq1tqvaCgkFb8cCA/edit?usp=sharing"",""มหาสารคาม!M356"")"),0)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IFERROR(__xludf.DUMMYFUNCTION("IMPORTRANGE(""https://docs.google.com/spreadsheets/d/1XL5vhW3sbDhbH9Cz0tuDiY8C3ctxq1tqvaCgkFb8cCA/edit?usp=sharing"",""มหาสารคาม!M357"")"),0)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IFERROR(__xludf.DUMMYFUNCTION("IMPORTRANGE(""https://docs.google.com/spreadsheets/d/1XL5vhW3sbDhbH9Cz0tuDiY8C3ctxq1tqvaCgkFb8cCA/edit?usp=sharing"",""มหาสารคาม!M358"")"),56035.5)</f>
        <v>56035.5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IFERROR(__xludf.DUMMYFUNCTION("IMPORTRANGE(""https://docs.google.com/spreadsheets/d/1XL5vhW3sbDhbH9Cz0tuDiY8C3ctxq1tqvaCgkFb8cCA/edit?usp=sharing"",""มหาสารคาม!I359"")"),24987)</f>
        <v>24987</v>
      </c>
      <c r="J464" s="267">
        <f ca="1">IFERROR(__xludf.DUMMYFUNCTION("IMPORTRANGE(""https://docs.google.com/spreadsheets/d/1XL5vhW3sbDhbH9Cz0tuDiY8C3ctxq1tqvaCgkFb8cCA/edit?usp=sharing"",""มหาสารคาม!J359"")"),0)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IFERROR(__xludf.DUMMYFUNCTION("IMPORTRANGE(""https://docs.google.com/spreadsheets/d/1XL5vhW3sbDhbH9Cz0tuDiY8C3ctxq1tqvaCgkFb8cCA/edit?usp=sharing"",""มหาสารคาม!I360"")"),24987)</f>
        <v>24987</v>
      </c>
      <c r="J465" s="420">
        <f ca="1">IFERROR(__xludf.DUMMYFUNCTION("IMPORTRANGE(""https://docs.google.com/spreadsheets/d/1XL5vhW3sbDhbH9Cz0tuDiY8C3ctxq1tqvaCgkFb8cCA/edit?usp=sharing"",""มหาสารคาม!J360"")"),24987.14)</f>
        <v>24987.14</v>
      </c>
      <c r="K465" s="202">
        <f t="shared" ca="1" si="117"/>
        <v>100.0005602913515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IFERROR(__xludf.DUMMYFUNCTION("IMPORTRANGE(""https://docs.google.com/spreadsheets/d/1XL5vhW3sbDhbH9Cz0tuDiY8C3ctxq1tqvaCgkFb8cCA/edit?usp=sharing"",""มหาสารคาม!I361"")"),3166)</f>
        <v>3166</v>
      </c>
      <c r="J466" s="420">
        <f ca="1">IFERROR(__xludf.DUMMYFUNCTION("IMPORTRANGE(""https://docs.google.com/spreadsheets/d/1XL5vhW3sbDhbH9Cz0tuDiY8C3ctxq1tqvaCgkFb8cCA/edit?usp=sharing"",""มหาสารคาม!J361"")"),3166)</f>
        <v>3166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IFERROR(__xludf.DUMMYFUNCTION("IMPORTRANGE(""https://docs.google.com/spreadsheets/d/1XL5vhW3sbDhbH9Cz0tuDiY8C3ctxq1tqvaCgkFb8cCA/edit?usp=sharing"",""มหาสารคาม!I362"")"),0)</f>
        <v>0</v>
      </c>
      <c r="J467" s="189">
        <f ca="1">IFERROR(__xludf.DUMMYFUNCTION("IMPORTRANGE(""https://docs.google.com/spreadsheets/d/1XL5vhW3sbDhbH9Cz0tuDiY8C3ctxq1tqvaCgkFb8cCA/edit?usp=sharing"",""มหาสารคาม!J362"")"),22506.46)</f>
        <v>22506.46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IFERROR(__xludf.DUMMYFUNCTION("IMPORTRANGE(""https://docs.google.com/spreadsheets/d/1XL5vhW3sbDhbH9Cz0tuDiY8C3ctxq1tqvaCgkFb8cCA/edit?usp=sharing"",""มหาสารคาม!I363"")"),0)</f>
        <v>0</v>
      </c>
      <c r="J468" s="189">
        <f ca="1">IFERROR(__xludf.DUMMYFUNCTION("IMPORTRANGE(""https://docs.google.com/spreadsheets/d/1XL5vhW3sbDhbH9Cz0tuDiY8C3ctxq1tqvaCgkFb8cCA/edit?usp=sharing"",""มหาสารคาม!J363"")"),2853)</f>
        <v>2853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IFERROR(__xludf.DUMMYFUNCTION("IMPORTRANGE(""https://docs.google.com/spreadsheets/d/1XL5vhW3sbDhbH9Cz0tuDiY8C3ctxq1tqvaCgkFb8cCA/edit?usp=sharing"",""มหาสารคาม!I364"")"),0)</f>
        <v>0</v>
      </c>
      <c r="J469" s="189">
        <f ca="1">IFERROR(__xludf.DUMMYFUNCTION("IMPORTRANGE(""https://docs.google.com/spreadsheets/d/1XL5vhW3sbDhbH9Cz0tuDiY8C3ctxq1tqvaCgkFb8cCA/edit?usp=sharing"",""มหาสารคาม!J364"")"),1126.68)</f>
        <v>1126.68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IFERROR(__xludf.DUMMYFUNCTION("IMPORTRANGE(""https://docs.google.com/spreadsheets/d/1XL5vhW3sbDhbH9Cz0tuDiY8C3ctxq1tqvaCgkFb8cCA/edit?usp=sharing"",""มหาสารคาม!I365"")"),0)</f>
        <v>0</v>
      </c>
      <c r="J470" s="189">
        <f ca="1">IFERROR(__xludf.DUMMYFUNCTION("IMPORTRANGE(""https://docs.google.com/spreadsheets/d/1XL5vhW3sbDhbH9Cz0tuDiY8C3ctxq1tqvaCgkFb8cCA/edit?usp=sharing"",""มหาสารคาม!J365"")"),156)</f>
        <v>156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IFERROR(__xludf.DUMMYFUNCTION("IMPORTRANGE(""https://docs.google.com/spreadsheets/d/1XL5vhW3sbDhbH9Cz0tuDiY8C3ctxq1tqvaCgkFb8cCA/edit?usp=sharing"",""มหาสารคาม!I366"")"),0)</f>
        <v>0</v>
      </c>
      <c r="J471" s="189">
        <f ca="1">IFERROR(__xludf.DUMMYFUNCTION("IMPORTRANGE(""https://docs.google.com/spreadsheets/d/1XL5vhW3sbDhbH9Cz0tuDiY8C3ctxq1tqvaCgkFb8cCA/edit?usp=sharing"",""มหาสารคาม!J366"")"),1354)</f>
        <v>1354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IFERROR(__xludf.DUMMYFUNCTION("IMPORTRANGE(""https://docs.google.com/spreadsheets/d/1XL5vhW3sbDhbH9Cz0tuDiY8C3ctxq1tqvaCgkFb8cCA/edit?usp=sharing"",""มหาสารคาม!I367"")"),0)</f>
        <v>0</v>
      </c>
      <c r="J472" s="189">
        <f ca="1">IFERROR(__xludf.DUMMYFUNCTION("IMPORTRANGE(""https://docs.google.com/spreadsheets/d/1XL5vhW3sbDhbH9Cz0tuDiY8C3ctxq1tqvaCgkFb8cCA/edit?usp=sharing"",""มหาสารคาม!J367"")"),157)</f>
        <v>157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IFERROR(__xludf.DUMMYFUNCTION("IMPORTRANGE(""https://docs.google.com/spreadsheets/d/1XL5vhW3sbDhbH9Cz0tuDiY8C3ctxq1tqvaCgkFb8cCA/edit?usp=sharing"",""มหาสารคาม!I368"")"),24987)</f>
        <v>24987</v>
      </c>
      <c r="J473" s="420">
        <f ca="1">IFERROR(__xludf.DUMMYFUNCTION("IMPORTRANGE(""https://docs.google.com/spreadsheets/d/1XL5vhW3sbDhbH9Cz0tuDiY8C3ctxq1tqvaCgkFb8cCA/edit?usp=sharing"",""มหาสารคาม!J368"")"),24987)</f>
        <v>24987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IFERROR(__xludf.DUMMYFUNCTION("IMPORTRANGE(""https://docs.google.com/spreadsheets/d/1XL5vhW3sbDhbH9Cz0tuDiY8C3ctxq1tqvaCgkFb8cCA/edit?usp=sharing"",""มหาสารคาม!I369"")"),3166)</f>
        <v>3166</v>
      </c>
      <c r="J474" s="420">
        <f ca="1">IFERROR(__xludf.DUMMYFUNCTION("IMPORTRANGE(""https://docs.google.com/spreadsheets/d/1XL5vhW3sbDhbH9Cz0tuDiY8C3ctxq1tqvaCgkFb8cCA/edit?usp=sharing"",""มหาสารคาม!J369"")"),3166)</f>
        <v>3166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IFERROR(__xludf.DUMMYFUNCTION("IMPORTRANGE(""https://docs.google.com/spreadsheets/d/1XL5vhW3sbDhbH9Cz0tuDiY8C3ctxq1tqvaCgkFb8cCA/edit?usp=sharing"",""มหาสารคาม!I370"")"),0)</f>
        <v>0</v>
      </c>
      <c r="J475" s="189">
        <f ca="1">IFERROR(__xludf.DUMMYFUNCTION("IMPORTRANGE(""https://docs.google.com/spreadsheets/d/1XL5vhW3sbDhbH9Cz0tuDiY8C3ctxq1tqvaCgkFb8cCA/edit?usp=sharing"",""มหาสารคาม!J370"")"),23199)</f>
        <v>23199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IFERROR(__xludf.DUMMYFUNCTION("IMPORTRANGE(""https://docs.google.com/spreadsheets/d/1XL5vhW3sbDhbH9Cz0tuDiY8C3ctxq1tqvaCgkFb8cCA/edit?usp=sharing"",""มหาสารคาม!I371"")"),0)</f>
        <v>0</v>
      </c>
      <c r="J476" s="189">
        <f ca="1">IFERROR(__xludf.DUMMYFUNCTION("IMPORTRANGE(""https://docs.google.com/spreadsheets/d/1XL5vhW3sbDhbH9Cz0tuDiY8C3ctxq1tqvaCgkFb8cCA/edit?usp=sharing"",""มหาสารคาม!J371"")"),2949)</f>
        <v>2949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IFERROR(__xludf.DUMMYFUNCTION("IMPORTRANGE(""https://docs.google.com/spreadsheets/d/1XL5vhW3sbDhbH9Cz0tuDiY8C3ctxq1tqvaCgkFb8cCA/edit?usp=sharing"",""มหาสารคาม!I372"")"),0)</f>
        <v>0</v>
      </c>
      <c r="J477" s="189">
        <f ca="1">IFERROR(__xludf.DUMMYFUNCTION("IMPORTRANGE(""https://docs.google.com/spreadsheets/d/1XL5vhW3sbDhbH9Cz0tuDiY8C3ctxq1tqvaCgkFb8cCA/edit?usp=sharing"",""มหาสารคาม!J372"")"),533)</f>
        <v>533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IFERROR(__xludf.DUMMYFUNCTION("IMPORTRANGE(""https://docs.google.com/spreadsheets/d/1XL5vhW3sbDhbH9Cz0tuDiY8C3ctxq1tqvaCgkFb8cCA/edit?usp=sharing"",""มหาสารคาม!I373"")"),0)</f>
        <v>0</v>
      </c>
      <c r="J478" s="189">
        <f ca="1">IFERROR(__xludf.DUMMYFUNCTION("IMPORTRANGE(""https://docs.google.com/spreadsheets/d/1XL5vhW3sbDhbH9Cz0tuDiY8C3ctxq1tqvaCgkFb8cCA/edit?usp=sharing"",""มหาสารคาม!J373"")"),69)</f>
        <v>69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IFERROR(__xludf.DUMMYFUNCTION("IMPORTRANGE(""https://docs.google.com/spreadsheets/d/1XL5vhW3sbDhbH9Cz0tuDiY8C3ctxq1tqvaCgkFb8cCA/edit?usp=sharing"",""มหาสารคาม!I374"")"),0)</f>
        <v>0</v>
      </c>
      <c r="J479" s="189">
        <f ca="1">IFERROR(__xludf.DUMMYFUNCTION("IMPORTRANGE(""https://docs.google.com/spreadsheets/d/1XL5vhW3sbDhbH9Cz0tuDiY8C3ctxq1tqvaCgkFb8cCA/edit?usp=sharing"",""มหาสารคาม!J374"")"),1255)</f>
        <v>1255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IFERROR(__xludf.DUMMYFUNCTION("IMPORTRANGE(""https://docs.google.com/spreadsheets/d/1XL5vhW3sbDhbH9Cz0tuDiY8C3ctxq1tqvaCgkFb8cCA/edit?usp=sharing"",""มหาสารคาม!I375"")"),0)</f>
        <v>0</v>
      </c>
      <c r="J480" s="189">
        <f ca="1">IFERROR(__xludf.DUMMYFUNCTION("IMPORTRANGE(""https://docs.google.com/spreadsheets/d/1XL5vhW3sbDhbH9Cz0tuDiY8C3ctxq1tqvaCgkFb8cCA/edit?usp=sharing"",""มหาสารคาม!J375"")"),148)</f>
        <v>148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IFERROR(__xludf.DUMMYFUNCTION("IMPORTRANGE(""https://docs.google.com/spreadsheets/d/1XL5vhW3sbDhbH9Cz0tuDiY8C3ctxq1tqvaCgkFb8cCA/edit?usp=sharing"",""มหาสารคาม!I376"")"),24987)</f>
        <v>24987</v>
      </c>
      <c r="J481" s="420">
        <f ca="1">IFERROR(__xludf.DUMMYFUNCTION("IMPORTRANGE(""https://docs.google.com/spreadsheets/d/1XL5vhW3sbDhbH9Cz0tuDiY8C3ctxq1tqvaCgkFb8cCA/edit?usp=sharing"",""มหาสารคาม!J376"")"),0)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IFERROR(__xludf.DUMMYFUNCTION("IMPORTRANGE(""https://docs.google.com/spreadsheets/d/1XL5vhW3sbDhbH9Cz0tuDiY8C3ctxq1tqvaCgkFb8cCA/edit?usp=sharing"",""มหาสารคาม!I377"")"),3166)</f>
        <v>3166</v>
      </c>
      <c r="J482" s="420">
        <f ca="1">IFERROR(__xludf.DUMMYFUNCTION("IMPORTRANGE(""https://docs.google.com/spreadsheets/d/1XL5vhW3sbDhbH9Cz0tuDiY8C3ctxq1tqvaCgkFb8cCA/edit?usp=sharing"",""มหาสารคาม!J377"")"),0)</f>
        <v>0</v>
      </c>
      <c r="K482" s="202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IFERROR(__xludf.DUMMYFUNCTION("IMPORTRANGE(""https://docs.google.com/spreadsheets/d/1XL5vhW3sbDhbH9Cz0tuDiY8C3ctxq1tqvaCgkFb8cCA/edit?usp=sharing"",""มหาสารคาม!I378"")"),0)</f>
        <v>0</v>
      </c>
      <c r="J483" s="189">
        <f ca="1">IFERROR(__xludf.DUMMYFUNCTION("IMPORTRANGE(""https://docs.google.com/spreadsheets/d/1XL5vhW3sbDhbH9Cz0tuDiY8C3ctxq1tqvaCgkFb8cCA/edit?usp=sharing"",""มหาสารคาม!J378"")"),0)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IFERROR(__xludf.DUMMYFUNCTION("IMPORTRANGE(""https://docs.google.com/spreadsheets/d/1XL5vhW3sbDhbH9Cz0tuDiY8C3ctxq1tqvaCgkFb8cCA/edit?usp=sharing"",""มหาสารคาม!I379"")"),0)</f>
        <v>0</v>
      </c>
      <c r="J484" s="189">
        <f ca="1">IFERROR(__xludf.DUMMYFUNCTION("IMPORTRANGE(""https://docs.google.com/spreadsheets/d/1XL5vhW3sbDhbH9Cz0tuDiY8C3ctxq1tqvaCgkFb8cCA/edit?usp=sharing"",""มหาสารคาม!J379"")"),0)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IFERROR(__xludf.DUMMYFUNCTION("IMPORTRANGE(""https://docs.google.com/spreadsheets/d/1XL5vhW3sbDhbH9Cz0tuDiY8C3ctxq1tqvaCgkFb8cCA/edit?usp=sharing"",""มหาสารคาม!I380"")"),0)</f>
        <v>0</v>
      </c>
      <c r="J485" s="189">
        <f ca="1">IFERROR(__xludf.DUMMYFUNCTION("IMPORTRANGE(""https://docs.google.com/spreadsheets/d/1XL5vhW3sbDhbH9Cz0tuDiY8C3ctxq1tqvaCgkFb8cCA/edit?usp=sharing"",""มหาสารคาม!J380"")"),0)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IFERROR(__xludf.DUMMYFUNCTION("IMPORTRANGE(""https://docs.google.com/spreadsheets/d/1XL5vhW3sbDhbH9Cz0tuDiY8C3ctxq1tqvaCgkFb8cCA/edit?usp=sharing"",""มหาสารคาม!I381"")"),0)</f>
        <v>0</v>
      </c>
      <c r="J486" s="189">
        <f ca="1">IFERROR(__xludf.DUMMYFUNCTION("IMPORTRANGE(""https://docs.google.com/spreadsheets/d/1XL5vhW3sbDhbH9Cz0tuDiY8C3ctxq1tqvaCgkFb8cCA/edit?usp=sharing"",""มหาสารคาม!J381"")"),0)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IFERROR(__xludf.DUMMYFUNCTION("IMPORTRANGE(""https://docs.google.com/spreadsheets/d/1XL5vhW3sbDhbH9Cz0tuDiY8C3ctxq1tqvaCgkFb8cCA/edit?usp=sharing"",""มหาสารคาม!I382"")"),0)</f>
        <v>0</v>
      </c>
      <c r="J487" s="420">
        <f ca="1">IFERROR(__xludf.DUMMYFUNCTION("IMPORTRANGE(""https://docs.google.com/spreadsheets/d/1XL5vhW3sbDhbH9Cz0tuDiY8C3ctxq1tqvaCgkFb8cCA/edit?usp=sharing"",""มหาสารคาม!J382"")"),0)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IFERROR(__xludf.DUMMYFUNCTION("IMPORTRANGE(""https://docs.google.com/spreadsheets/d/1XL5vhW3sbDhbH9Cz0tuDiY8C3ctxq1tqvaCgkFb8cCA/edit?usp=sharing"",""มหาสารคาม!I383"")"),0)</f>
        <v>0</v>
      </c>
      <c r="J488" s="420">
        <f ca="1">IFERROR(__xludf.DUMMYFUNCTION("IMPORTRANGE(""https://docs.google.com/spreadsheets/d/1XL5vhW3sbDhbH9Cz0tuDiY8C3ctxq1tqvaCgkFb8cCA/edit?usp=sharing"",""มหาสารคาม!J383"")"),0)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IFERROR(__xludf.DUMMYFUNCTION("IMPORTRANGE(""https://docs.google.com/spreadsheets/d/1XL5vhW3sbDhbH9Cz0tuDiY8C3ctxq1tqvaCgkFb8cCA/edit?usp=sharing"",""มหาสารคาม!I384"")"),0)</f>
        <v>0</v>
      </c>
      <c r="J489" s="189">
        <f ca="1">IFERROR(__xludf.DUMMYFUNCTION("IMPORTRANGE(""https://docs.google.com/spreadsheets/d/1XL5vhW3sbDhbH9Cz0tuDiY8C3ctxq1tqvaCgkFb8cCA/edit?usp=sharing"",""มหาสารคาม!J384"")"),0)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IFERROR(__xludf.DUMMYFUNCTION("IMPORTRANGE(""https://docs.google.com/spreadsheets/d/1XL5vhW3sbDhbH9Cz0tuDiY8C3ctxq1tqvaCgkFb8cCA/edit?usp=sharing"",""มหาสารคาม!I385"")"),0)</f>
        <v>0</v>
      </c>
      <c r="J490" s="189">
        <f ca="1">IFERROR(__xludf.DUMMYFUNCTION("IMPORTRANGE(""https://docs.google.com/spreadsheets/d/1XL5vhW3sbDhbH9Cz0tuDiY8C3ctxq1tqvaCgkFb8cCA/edit?usp=sharing"",""มหาสารคาม!J385"")"),0)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IFERROR(__xludf.DUMMYFUNCTION("IMPORTRANGE(""https://docs.google.com/spreadsheets/d/1XL5vhW3sbDhbH9Cz0tuDiY8C3ctxq1tqvaCgkFb8cCA/edit?usp=sharing"",""มหาสารคาม!I386"")"),0)</f>
        <v>0</v>
      </c>
      <c r="J491" s="189">
        <f ca="1">IFERROR(__xludf.DUMMYFUNCTION("IMPORTRANGE(""https://docs.google.com/spreadsheets/d/1XL5vhW3sbDhbH9Cz0tuDiY8C3ctxq1tqvaCgkFb8cCA/edit?usp=sharing"",""มหาสารคาม!J386"")"),0)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IFERROR(__xludf.DUMMYFUNCTION("IMPORTRANGE(""https://docs.google.com/spreadsheets/d/1XL5vhW3sbDhbH9Cz0tuDiY8C3ctxq1tqvaCgkFb8cCA/edit?usp=sharing"",""มหาสารคาม!I387"")"),0)</f>
        <v>0</v>
      </c>
      <c r="J492" s="189">
        <f ca="1">IFERROR(__xludf.DUMMYFUNCTION("IMPORTRANGE(""https://docs.google.com/spreadsheets/d/1XL5vhW3sbDhbH9Cz0tuDiY8C3ctxq1tqvaCgkFb8cCA/edit?usp=sharing"",""มหาสารคาม!J387"")"),0)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IFERROR(__xludf.DUMMYFUNCTION("IMPORTRANGE(""https://docs.google.com/spreadsheets/d/1XL5vhW3sbDhbH9Cz0tuDiY8C3ctxq1tqvaCgkFb8cCA/edit?usp=sharing"",""มหาสารคาม!I388"")"),0)</f>
        <v>0</v>
      </c>
      <c r="J493" s="189">
        <f ca="1">IFERROR(__xludf.DUMMYFUNCTION("IMPORTRANGE(""https://docs.google.com/spreadsheets/d/1XL5vhW3sbDhbH9Cz0tuDiY8C3ctxq1tqvaCgkFb8cCA/edit?usp=sharing"",""มหาสารคาม!J388"")"),0)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IFERROR(__xludf.DUMMYFUNCTION("IMPORTRANGE(""https://docs.google.com/spreadsheets/d/1XL5vhW3sbDhbH9Cz0tuDiY8C3ctxq1tqvaCgkFb8cCA/edit?usp=sharing"",""มหาสารคาม!I389"")"),0)</f>
        <v>0</v>
      </c>
      <c r="J494" s="436">
        <f ca="1">IFERROR(__xludf.DUMMYFUNCTION("IMPORTRANGE(""https://docs.google.com/spreadsheets/d/1XL5vhW3sbDhbH9Cz0tuDiY8C3ctxq1tqvaCgkFb8cCA/edit?usp=sharing"",""มหาสารคาม!J389"")"),0)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IFERROR(__xludf.DUMMYFUNCTION("IMPORTRANGE(""https://docs.google.com/spreadsheets/d/1XL5vhW3sbDhbH9Cz0tuDiY8C3ctxq1tqvaCgkFb8cCA/edit?usp=sharing"",""มหาสารคาม!I390"")"),0)</f>
        <v>0</v>
      </c>
      <c r="J495" s="436">
        <f ca="1">IFERROR(__xludf.DUMMYFUNCTION("IMPORTRANGE(""https://docs.google.com/spreadsheets/d/1XL5vhW3sbDhbH9Cz0tuDiY8C3ctxq1tqvaCgkFb8cCA/edit?usp=sharing"",""มหาสารคาม!J390"")"),0)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IFERROR(__xludf.DUMMYFUNCTION("IMPORTRANGE(""https://docs.google.com/spreadsheets/d/1XL5vhW3sbDhbH9Cz0tuDiY8C3ctxq1tqvaCgkFb8cCA/edit?usp=sharing"",""มหาสารคาม!I391"")"),0)</f>
        <v>0</v>
      </c>
      <c r="J496" s="436">
        <f ca="1">IFERROR(__xludf.DUMMYFUNCTION("IMPORTRANGE(""https://docs.google.com/spreadsheets/d/1XL5vhW3sbDhbH9Cz0tuDiY8C3ctxq1tqvaCgkFb8cCA/edit?usp=sharing"",""มหาสารคาม!J391"")"),0)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IFERROR(__xludf.DUMMYFUNCTION("IMPORTRANGE(""https://docs.google.com/spreadsheets/d/1XL5vhW3sbDhbH9Cz0tuDiY8C3ctxq1tqvaCgkFb8cCA/edit?usp=sharing"",""มหาสารคาม!I392"")"),408)</f>
        <v>408</v>
      </c>
      <c r="J497" s="443">
        <f ca="1">IFERROR(__xludf.DUMMYFUNCTION("IMPORTRANGE(""https://docs.google.com/spreadsheets/d/1XL5vhW3sbDhbH9Cz0tuDiY8C3ctxq1tqvaCgkFb8cCA/edit?usp=sharing"",""มหาสารคาม!J392"")"),76)</f>
        <v>76</v>
      </c>
      <c r="K497" s="444">
        <f t="shared" ca="1" si="117"/>
        <v>18.627450980392158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IFERROR(__xludf.DUMMYFUNCTION("IMPORTRANGE(""https://docs.google.com/spreadsheets/d/1XL5vhW3sbDhbH9Cz0tuDiY8C3ctxq1tqvaCgkFb8cCA/edit?usp=sharing"",""มหาสารคาม!I393"")"),408)</f>
        <v>408</v>
      </c>
      <c r="J498" s="420">
        <f ca="1">IFERROR(__xludf.DUMMYFUNCTION("IMPORTRANGE(""https://docs.google.com/spreadsheets/d/1XL5vhW3sbDhbH9Cz0tuDiY8C3ctxq1tqvaCgkFb8cCA/edit?usp=sharing"",""มหาสารคาม!J393"")"),76)</f>
        <v>76</v>
      </c>
      <c r="K498" s="202">
        <f t="shared" ca="1" si="117"/>
        <v>18.627450980392158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IFERROR(__xludf.DUMMYFUNCTION("IMPORTRANGE(""https://docs.google.com/spreadsheets/d/1XL5vhW3sbDhbH9Cz0tuDiY8C3ctxq1tqvaCgkFb8cCA/edit?usp=sharing"",""มหาสารคาม!I394"")"),36)</f>
        <v>36</v>
      </c>
      <c r="J499" s="420">
        <f ca="1">IFERROR(__xludf.DUMMYFUNCTION("IMPORTRANGE(""https://docs.google.com/spreadsheets/d/1XL5vhW3sbDhbH9Cz0tuDiY8C3ctxq1tqvaCgkFb8cCA/edit?usp=sharing"",""มหาสารคาม!J394"")"),10)</f>
        <v>10</v>
      </c>
      <c r="K499" s="202">
        <f t="shared" ca="1" si="117"/>
        <v>27.777777777777779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IFERROR(__xludf.DUMMYFUNCTION("IMPORTRANGE(""https://docs.google.com/spreadsheets/d/1XL5vhW3sbDhbH9Cz0tuDiY8C3ctxq1tqvaCgkFb8cCA/edit?usp=sharing"",""มหาสารคาม!I395"")"),0)</f>
        <v>0</v>
      </c>
      <c r="J500" s="162">
        <f ca="1">IFERROR(__xludf.DUMMYFUNCTION("IMPORTRANGE(""https://docs.google.com/spreadsheets/d/1XL5vhW3sbDhbH9Cz0tuDiY8C3ctxq1tqvaCgkFb8cCA/edit?usp=sharing"",""มหาสารคาม!J395"")"),67)</f>
        <v>67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IFERROR(__xludf.DUMMYFUNCTION("IMPORTRANGE(""https://docs.google.com/spreadsheets/d/1XL5vhW3sbDhbH9Cz0tuDiY8C3ctxq1tqvaCgkFb8cCA/edit?usp=sharing"",""มหาสารคาม!I396"")"),0)</f>
        <v>0</v>
      </c>
      <c r="J501" s="162">
        <f ca="1">IFERROR(__xludf.DUMMYFUNCTION("IMPORTRANGE(""https://docs.google.com/spreadsheets/d/1XL5vhW3sbDhbH9Cz0tuDiY8C3ctxq1tqvaCgkFb8cCA/edit?usp=sharing"",""มหาสารคาม!J396"")"),9)</f>
        <v>9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IFERROR(__xludf.DUMMYFUNCTION("IMPORTRANGE(""https://docs.google.com/spreadsheets/d/1XL5vhW3sbDhbH9Cz0tuDiY8C3ctxq1tqvaCgkFb8cCA/edit?usp=sharing"",""มหาสารคาม!I397"")"),0)</f>
        <v>0</v>
      </c>
      <c r="J502" s="189">
        <f ca="1">IFERROR(__xludf.DUMMYFUNCTION("IMPORTRANGE(""https://docs.google.com/spreadsheets/d/1XL5vhW3sbDhbH9Cz0tuDiY8C3ctxq1tqvaCgkFb8cCA/edit?usp=sharing"",""มหาสารคาม!J397"")"),67)</f>
        <v>67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IFERROR(__xludf.DUMMYFUNCTION("IMPORTRANGE(""https://docs.google.com/spreadsheets/d/1XL5vhW3sbDhbH9Cz0tuDiY8C3ctxq1tqvaCgkFb8cCA/edit?usp=sharing"",""มหาสารคาม!I398"")"),0)</f>
        <v>0</v>
      </c>
      <c r="J503" s="198">
        <f ca="1">IFERROR(__xludf.DUMMYFUNCTION("IMPORTRANGE(""https://docs.google.com/spreadsheets/d/1XL5vhW3sbDhbH9Cz0tuDiY8C3ctxq1tqvaCgkFb8cCA/edit?usp=sharing"",""มหาสารคาม!J398"")"),9)</f>
        <v>9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IFERROR(__xludf.DUMMYFUNCTION("IMPORTRANGE(""https://docs.google.com/spreadsheets/d/1XL5vhW3sbDhbH9Cz0tuDiY8C3ctxq1tqvaCgkFb8cCA/edit?usp=sharing"",""มหาสารคาม!I399"")"),0)</f>
        <v>0</v>
      </c>
      <c r="J504" s="189">
        <f ca="1">IFERROR(__xludf.DUMMYFUNCTION("IMPORTRANGE(""https://docs.google.com/spreadsheets/d/1XL5vhW3sbDhbH9Cz0tuDiY8C3ctxq1tqvaCgkFb8cCA/edit?usp=sharing"",""มหาสารคาม!J399"")"),0)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IFERROR(__xludf.DUMMYFUNCTION("IMPORTRANGE(""https://docs.google.com/spreadsheets/d/1XL5vhW3sbDhbH9Cz0tuDiY8C3ctxq1tqvaCgkFb8cCA/edit?usp=sharing"",""มหาสารคาม!I400"")"),0)</f>
        <v>0</v>
      </c>
      <c r="J505" s="198">
        <f ca="1">IFERROR(__xludf.DUMMYFUNCTION("IMPORTRANGE(""https://docs.google.com/spreadsheets/d/1XL5vhW3sbDhbH9Cz0tuDiY8C3ctxq1tqvaCgkFb8cCA/edit?usp=sharing"",""มหาสารคาม!J400"")"),0)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IFERROR(__xludf.DUMMYFUNCTION("IMPORTRANGE(""https://docs.google.com/spreadsheets/d/1XL5vhW3sbDhbH9Cz0tuDiY8C3ctxq1tqvaCgkFb8cCA/edit?usp=sharing"",""มหาสารคาม!I401"")"),0)</f>
        <v>0</v>
      </c>
      <c r="J506" s="189">
        <f ca="1">IFERROR(__xludf.DUMMYFUNCTION("IMPORTRANGE(""https://docs.google.com/spreadsheets/d/1XL5vhW3sbDhbH9Cz0tuDiY8C3ctxq1tqvaCgkFb8cCA/edit?usp=sharing"",""มหาสารคาม!J401"")"),0)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IFERROR(__xludf.DUMMYFUNCTION("IMPORTRANGE(""https://docs.google.com/spreadsheets/d/1XL5vhW3sbDhbH9Cz0tuDiY8C3ctxq1tqvaCgkFb8cCA/edit?usp=sharing"",""มหาสารคาม!I402"")"),0)</f>
        <v>0</v>
      </c>
      <c r="J507" s="198">
        <f ca="1">IFERROR(__xludf.DUMMYFUNCTION("IMPORTRANGE(""https://docs.google.com/spreadsheets/d/1XL5vhW3sbDhbH9Cz0tuDiY8C3ctxq1tqvaCgkFb8cCA/edit?usp=sharing"",""มหาสารคาม!J402"")"),0)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IFERROR(__xludf.DUMMYFUNCTION("IMPORTRANGE(""https://docs.google.com/spreadsheets/d/1XL5vhW3sbDhbH9Cz0tuDiY8C3ctxq1tqvaCgkFb8cCA/edit?usp=sharing"",""มหาสารคาม!I403"")"),0)</f>
        <v>0</v>
      </c>
      <c r="J508" s="162">
        <f ca="1">IFERROR(__xludf.DUMMYFUNCTION("IMPORTRANGE(""https://docs.google.com/spreadsheets/d/1XL5vhW3sbDhbH9Cz0tuDiY8C3ctxq1tqvaCgkFb8cCA/edit?usp=sharing"",""มหาสารคาม!J403"")"),9)</f>
        <v>9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IFERROR(__xludf.DUMMYFUNCTION("IMPORTRANGE(""https://docs.google.com/spreadsheets/d/1XL5vhW3sbDhbH9Cz0tuDiY8C3ctxq1tqvaCgkFb8cCA/edit?usp=sharing"",""มหาสารคาม!I404"")"),0)</f>
        <v>0</v>
      </c>
      <c r="J509" s="162">
        <f ca="1">IFERROR(__xludf.DUMMYFUNCTION("IMPORTRANGE(""https://docs.google.com/spreadsheets/d/1XL5vhW3sbDhbH9Cz0tuDiY8C3ctxq1tqvaCgkFb8cCA/edit?usp=sharing"",""มหาสารคาม!J404"")"),1)</f>
        <v>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IFERROR(__xludf.DUMMYFUNCTION("IMPORTRANGE(""https://docs.google.com/spreadsheets/d/1XL5vhW3sbDhbH9Cz0tuDiY8C3ctxq1tqvaCgkFb8cCA/edit?usp=sharing"",""มหาสารคาม!I405"")"),0)</f>
        <v>0</v>
      </c>
      <c r="J510" s="198">
        <f ca="1">IFERROR(__xludf.DUMMYFUNCTION("IMPORTRANGE(""https://docs.google.com/spreadsheets/d/1XL5vhW3sbDhbH9Cz0tuDiY8C3ctxq1tqvaCgkFb8cCA/edit?usp=sharing"",""มหาสารคาม!J405"")"),9)</f>
        <v>9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IFERROR(__xludf.DUMMYFUNCTION("IMPORTRANGE(""https://docs.google.com/spreadsheets/d/1XL5vhW3sbDhbH9Cz0tuDiY8C3ctxq1tqvaCgkFb8cCA/edit?usp=sharing"",""มหาสารคาม!I406"")"),0)</f>
        <v>0</v>
      </c>
      <c r="J511" s="198">
        <f ca="1">IFERROR(__xludf.DUMMYFUNCTION("IMPORTRANGE(""https://docs.google.com/spreadsheets/d/1XL5vhW3sbDhbH9Cz0tuDiY8C3ctxq1tqvaCgkFb8cCA/edit?usp=sharing"",""มหาสารคาม!J406"")"),1)</f>
        <v>1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IFERROR(__xludf.DUMMYFUNCTION("IMPORTRANGE(""https://docs.google.com/spreadsheets/d/1XL5vhW3sbDhbH9Cz0tuDiY8C3ctxq1tqvaCgkFb8cCA/edit?usp=sharing"",""มหาสารคาม!I407"")"),0)</f>
        <v>0</v>
      </c>
      <c r="J512" s="198">
        <f ca="1">IFERROR(__xludf.DUMMYFUNCTION("IMPORTRANGE(""https://docs.google.com/spreadsheets/d/1XL5vhW3sbDhbH9Cz0tuDiY8C3ctxq1tqvaCgkFb8cCA/edit?usp=sharing"",""มหาสารคาม!J407"")"),0)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IFERROR(__xludf.DUMMYFUNCTION("IMPORTRANGE(""https://docs.google.com/spreadsheets/d/1XL5vhW3sbDhbH9Cz0tuDiY8C3ctxq1tqvaCgkFb8cCA/edit?usp=sharing"",""มหาสารคาม!I408"")"),0)</f>
        <v>0</v>
      </c>
      <c r="J513" s="198">
        <f ca="1">IFERROR(__xludf.DUMMYFUNCTION("IMPORTRANGE(""https://docs.google.com/spreadsheets/d/1XL5vhW3sbDhbH9Cz0tuDiY8C3ctxq1tqvaCgkFb8cCA/edit?usp=sharing"",""มหาสารคาม!J408"")"),0)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IFERROR(__xludf.DUMMYFUNCTION("IMPORTRANGE(""https://docs.google.com/spreadsheets/d/1XL5vhW3sbDhbH9Cz0tuDiY8C3ctxq1tqvaCgkFb8cCA/edit?usp=sharing"",""มหาสารคาม!I409"")"),0)</f>
        <v>0</v>
      </c>
      <c r="J514" s="198">
        <f ca="1">IFERROR(__xludf.DUMMYFUNCTION("IMPORTRANGE(""https://docs.google.com/spreadsheets/d/1XL5vhW3sbDhbH9Cz0tuDiY8C3ctxq1tqvaCgkFb8cCA/edit?usp=sharing"",""มหาสารคาม!J409"")"),0)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IFERROR(__xludf.DUMMYFUNCTION("IMPORTRANGE(""https://docs.google.com/spreadsheets/d/1XL5vhW3sbDhbH9Cz0tuDiY8C3ctxq1tqvaCgkFb8cCA/edit?usp=sharing"",""มหาสารคาม!I410"")"),0)</f>
        <v>0</v>
      </c>
      <c r="J515" s="198">
        <f ca="1">IFERROR(__xludf.DUMMYFUNCTION("IMPORTRANGE(""https://docs.google.com/spreadsheets/d/1XL5vhW3sbDhbH9Cz0tuDiY8C3ctxq1tqvaCgkFb8cCA/edit?usp=sharing"",""มหาสารคาม!J410"")"),0)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IFERROR(__xludf.DUMMYFUNCTION("IMPORTRANGE(""https://docs.google.com/spreadsheets/d/1XL5vhW3sbDhbH9Cz0tuDiY8C3ctxq1tqvaCgkFb8cCA/edit?usp=sharing"",""มหาสารคาม!I411"")"),0)</f>
        <v>0</v>
      </c>
      <c r="J516" s="267">
        <f ca="1">IFERROR(__xludf.DUMMYFUNCTION("IMPORTRANGE(""https://docs.google.com/spreadsheets/d/1XL5vhW3sbDhbH9Cz0tuDiY8C3ctxq1tqvaCgkFb8cCA/edit?usp=sharing"",""มหาสารคาม!J411"")"),0)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IFERROR(__xludf.DUMMYFUNCTION("IMPORTRANGE(""https://docs.google.com/spreadsheets/d/1XL5vhW3sbDhbH9Cz0tuDiY8C3ctxq1tqvaCgkFb8cCA/edit?usp=sharing"",""มหาสารคาม!I412"")"),0)</f>
        <v>0</v>
      </c>
      <c r="J517" s="284">
        <f ca="1">IFERROR(__xludf.DUMMYFUNCTION("IMPORTRANGE(""https://docs.google.com/spreadsheets/d/1XL5vhW3sbDhbH9Cz0tuDiY8C3ctxq1tqvaCgkFb8cCA/edit?usp=sharing"",""มหาสารคาม!J412"")"),0)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IFERROR(__xludf.DUMMYFUNCTION("IMPORTRANGE(""https://docs.google.com/spreadsheets/d/1XL5vhW3sbDhbH9Cz0tuDiY8C3ctxq1tqvaCgkFb8cCA/edit?usp=sharing"",""มหาสารคาม!I413"")"),0)</f>
        <v>0</v>
      </c>
      <c r="J518" s="284">
        <f ca="1">IFERROR(__xludf.DUMMYFUNCTION("IMPORTRANGE(""https://docs.google.com/spreadsheets/d/1XL5vhW3sbDhbH9Cz0tuDiY8C3ctxq1tqvaCgkFb8cCA/edit?usp=sharing"",""มหาสารคาม!J413"")"),0)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IFERROR(__xludf.DUMMYFUNCTION("IMPORTRANGE(""https://docs.google.com/spreadsheets/d/1XL5vhW3sbDhbH9Cz0tuDiY8C3ctxq1tqvaCgkFb8cCA/edit?usp=sharing"",""มหาสารคาม!I414"")"),0)</f>
        <v>0</v>
      </c>
      <c r="J519" s="188">
        <f ca="1">IFERROR(__xludf.DUMMYFUNCTION("IMPORTRANGE(""https://docs.google.com/spreadsheets/d/1XL5vhW3sbDhbH9Cz0tuDiY8C3ctxq1tqvaCgkFb8cCA/edit?usp=sharing"",""มหาสารคาม!J414"")"),0)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IFERROR(__xludf.DUMMYFUNCTION("IMPORTRANGE(""https://docs.google.com/spreadsheets/d/1XL5vhW3sbDhbH9Cz0tuDiY8C3ctxq1tqvaCgkFb8cCA/edit?usp=sharing"",""มหาสารคาม!I415"")"),0)</f>
        <v>0</v>
      </c>
      <c r="J520" s="188">
        <f ca="1">IFERROR(__xludf.DUMMYFUNCTION("IMPORTRANGE(""https://docs.google.com/spreadsheets/d/1XL5vhW3sbDhbH9Cz0tuDiY8C3ctxq1tqvaCgkFb8cCA/edit?usp=sharing"",""มหาสารคาม!J415"")"),0)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IFERROR(__xludf.DUMMYFUNCTION("IMPORTRANGE(""https://docs.google.com/spreadsheets/d/1XL5vhW3sbDhbH9Cz0tuDiY8C3ctxq1tqvaCgkFb8cCA/edit?usp=sharing"",""มหาสารคาม!I416"")"),0)</f>
        <v>0</v>
      </c>
      <c r="J521" s="188">
        <f ca="1">IFERROR(__xludf.DUMMYFUNCTION("IMPORTRANGE(""https://docs.google.com/spreadsheets/d/1XL5vhW3sbDhbH9Cz0tuDiY8C3ctxq1tqvaCgkFb8cCA/edit?usp=sharing"",""มหาสารคาม!J416"")"),0)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IFERROR(__xludf.DUMMYFUNCTION("IMPORTRANGE(""https://docs.google.com/spreadsheets/d/1XL5vhW3sbDhbH9Cz0tuDiY8C3ctxq1tqvaCgkFb8cCA/edit?usp=sharing"",""มหาสารคาม!I417"")"),0)</f>
        <v>0</v>
      </c>
      <c r="J522" s="188">
        <f ca="1">IFERROR(__xludf.DUMMYFUNCTION("IMPORTRANGE(""https://docs.google.com/spreadsheets/d/1XL5vhW3sbDhbH9Cz0tuDiY8C3ctxq1tqvaCgkFb8cCA/edit?usp=sharing"",""มหาสารคาม!J417"")"),0)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IFERROR(__xludf.DUMMYFUNCTION("IMPORTRANGE(""https://docs.google.com/spreadsheets/d/1XL5vhW3sbDhbH9Cz0tuDiY8C3ctxq1tqvaCgkFb8cCA/edit?usp=sharing"",""มหาสารคาม!I418"")"),0)</f>
        <v>0</v>
      </c>
      <c r="J523" s="188">
        <f ca="1">IFERROR(__xludf.DUMMYFUNCTION("IMPORTRANGE(""https://docs.google.com/spreadsheets/d/1XL5vhW3sbDhbH9Cz0tuDiY8C3ctxq1tqvaCgkFb8cCA/edit?usp=sharing"",""มหาสารคาม!J418"")"),0)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IFERROR(__xludf.DUMMYFUNCTION("IMPORTRANGE(""https://docs.google.com/spreadsheets/d/1XL5vhW3sbDhbH9Cz0tuDiY8C3ctxq1tqvaCgkFb8cCA/edit?usp=sharing"",""มหาสารคาม!I419"")"),0)</f>
        <v>0</v>
      </c>
      <c r="J524" s="188">
        <f ca="1">IFERROR(__xludf.DUMMYFUNCTION("IMPORTRANGE(""https://docs.google.com/spreadsheets/d/1XL5vhW3sbDhbH9Cz0tuDiY8C3ctxq1tqvaCgkFb8cCA/edit?usp=sharing"",""มหาสารคาม!J419"")"),0)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IFERROR(__xludf.DUMMYFUNCTION("IMPORTRANGE(""https://docs.google.com/spreadsheets/d/1XL5vhW3sbDhbH9Cz0tuDiY8C3ctxq1tqvaCgkFb8cCA/edit?usp=sharing"",""มหาสารคาม!I420"")"),0)</f>
        <v>0</v>
      </c>
      <c r="J525" s="284">
        <f ca="1">IFERROR(__xludf.DUMMYFUNCTION("IMPORTRANGE(""https://docs.google.com/spreadsheets/d/1XL5vhW3sbDhbH9Cz0tuDiY8C3ctxq1tqvaCgkFb8cCA/edit?usp=sharing"",""มหาสารคาม!J420"")"),0)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IFERROR(__xludf.DUMMYFUNCTION("IMPORTRANGE(""https://docs.google.com/spreadsheets/d/1XL5vhW3sbDhbH9Cz0tuDiY8C3ctxq1tqvaCgkFb8cCA/edit?usp=sharing"",""มหาสารคาม!I421"")"),0)</f>
        <v>0</v>
      </c>
      <c r="J526" s="284">
        <f ca="1">IFERROR(__xludf.DUMMYFUNCTION("IMPORTRANGE(""https://docs.google.com/spreadsheets/d/1XL5vhW3sbDhbH9Cz0tuDiY8C3ctxq1tqvaCgkFb8cCA/edit?usp=sharing"",""มหาสารคาม!J421"")"),0)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IFERROR(__xludf.DUMMYFUNCTION("IMPORTRANGE(""https://docs.google.com/spreadsheets/d/1XL5vhW3sbDhbH9Cz0tuDiY8C3ctxq1tqvaCgkFb8cCA/edit?usp=sharing"",""มหาสารคาม!I422"")"),0)</f>
        <v>0</v>
      </c>
      <c r="J527" s="198">
        <f ca="1">IFERROR(__xludf.DUMMYFUNCTION("IMPORTRANGE(""https://docs.google.com/spreadsheets/d/1XL5vhW3sbDhbH9Cz0tuDiY8C3ctxq1tqvaCgkFb8cCA/edit?usp=sharing"",""มหาสารคาม!J422"")"),0)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IFERROR(__xludf.DUMMYFUNCTION("IMPORTRANGE(""https://docs.google.com/spreadsheets/d/1XL5vhW3sbDhbH9Cz0tuDiY8C3ctxq1tqvaCgkFb8cCA/edit?usp=sharing"",""มหาสารคาม!I423"")"),0)</f>
        <v>0</v>
      </c>
      <c r="J528" s="198">
        <f ca="1">IFERROR(__xludf.DUMMYFUNCTION("IMPORTRANGE(""https://docs.google.com/spreadsheets/d/1XL5vhW3sbDhbH9Cz0tuDiY8C3ctxq1tqvaCgkFb8cCA/edit?usp=sharing"",""มหาสารคาม!J423"")"),0)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IFERROR(__xludf.DUMMYFUNCTION("IMPORTRANGE(""https://docs.google.com/spreadsheets/d/1XL5vhW3sbDhbH9Cz0tuDiY8C3ctxq1tqvaCgkFb8cCA/edit?usp=sharing"",""มหาสารคาม!I424"")"),0)</f>
        <v>0</v>
      </c>
      <c r="J529" s="198">
        <f ca="1">IFERROR(__xludf.DUMMYFUNCTION("IMPORTRANGE(""https://docs.google.com/spreadsheets/d/1XL5vhW3sbDhbH9Cz0tuDiY8C3ctxq1tqvaCgkFb8cCA/edit?usp=sharing"",""มหาสารคาม!J424"")"),0)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IFERROR(__xludf.DUMMYFUNCTION("IMPORTRANGE(""https://docs.google.com/spreadsheets/d/1XL5vhW3sbDhbH9Cz0tuDiY8C3ctxq1tqvaCgkFb8cCA/edit?usp=sharing"",""มหาสารคาม!I425"")"),0)</f>
        <v>0</v>
      </c>
      <c r="J530" s="198">
        <f ca="1">IFERROR(__xludf.DUMMYFUNCTION("IMPORTRANGE(""https://docs.google.com/spreadsheets/d/1XL5vhW3sbDhbH9Cz0tuDiY8C3ctxq1tqvaCgkFb8cCA/edit?usp=sharing"",""มหาสารคาม!J425"")"),0)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IFERROR(__xludf.DUMMYFUNCTION("IMPORTRANGE(""https://docs.google.com/spreadsheets/d/1XL5vhW3sbDhbH9Cz0tuDiY8C3ctxq1tqvaCgkFb8cCA/edit?usp=sharing"",""มหาสารคาม!I426"")"),0)</f>
        <v>0</v>
      </c>
      <c r="J531" s="198">
        <f ca="1">IFERROR(__xludf.DUMMYFUNCTION("IMPORTRANGE(""https://docs.google.com/spreadsheets/d/1XL5vhW3sbDhbH9Cz0tuDiY8C3ctxq1tqvaCgkFb8cCA/edit?usp=sharing"",""มหาสารคาม!J426"")"),0)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IFERROR(__xludf.DUMMYFUNCTION("IMPORTRANGE(""https://docs.google.com/spreadsheets/d/1XL5vhW3sbDhbH9Cz0tuDiY8C3ctxq1tqvaCgkFb8cCA/edit?usp=sharing"",""มหาสารคาม!I427"")"),0)</f>
        <v>0</v>
      </c>
      <c r="J532" s="466">
        <f ca="1">IFERROR(__xludf.DUMMYFUNCTION("IMPORTRANGE(""https://docs.google.com/spreadsheets/d/1XL5vhW3sbDhbH9Cz0tuDiY8C3ctxq1tqvaCgkFb8cCA/edit?usp=sharing"",""มหาสารคาม!J427"")"),0)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IFERROR(__xludf.DUMMYFUNCTION("IMPORTRANGE(""https://docs.google.com/spreadsheets/d/1XL5vhW3sbDhbH9Cz0tuDiY8C3ctxq1tqvaCgkFb8cCA/edit?usp=sharing"",""มหาสารคาม!I428"")"),22)</f>
        <v>22</v>
      </c>
      <c r="J533" s="410">
        <f ca="1">IFERROR(__xludf.DUMMYFUNCTION("IMPORTRANGE(""https://docs.google.com/spreadsheets/d/1XL5vhW3sbDhbH9Cz0tuDiY8C3ctxq1tqvaCgkFb8cCA/edit?usp=sharing"",""มหาสารคาม!J428"")"),22)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IFERROR(__xludf.DUMMYFUNCTION("IMPORTRANGE(""https://docs.google.com/spreadsheets/d/1XL5vhW3sbDhbH9Cz0tuDiY8C3ctxq1tqvaCgkFb8cCA/edit?usp=sharing"",""มหาสารคาม!L428"")"),34340)</f>
        <v>34340</v>
      </c>
      <c r="M533" s="412"/>
      <c r="N533" s="412">
        <f ca="1">IFERROR(__xludf.DUMMYFUNCTION("IMPORTRANGE(""https://docs.google.com/spreadsheets/d/1XL5vhW3sbDhbH9Cz0tuDiY8C3ctxq1tqvaCgkFb8cCA/edit?usp=sharing"",""มหาสารคาม!M428"")"),27480)</f>
        <v>27480</v>
      </c>
      <c r="O533" s="412">
        <f t="shared" ref="O533:O537" ca="1" si="118">+IF(L533&gt;0,N533*100/L533,0)</f>
        <v>80.023296447291784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IFERROR(__xludf.DUMMYFUNCTION("IMPORTRANGE(""https://docs.google.com/spreadsheets/d/1XL5vhW3sbDhbH9Cz0tuDiY8C3ctxq1tqvaCgkFb8cCA/edit?usp=sharing"",""มหาสารคาม!L429"")"),0)</f>
        <v>0</v>
      </c>
      <c r="M534" s="164"/>
      <c r="N534" s="169">
        <f ca="1">IFERROR(__xludf.DUMMYFUNCTION("IMPORTRANGE(""https://docs.google.com/spreadsheets/d/1XL5vhW3sbDhbH9Cz0tuDiY8C3ctxq1tqvaCgkFb8cCA/edit?usp=sharing"",""มหาสารคาม!M429"")"),0)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IFERROR(__xludf.DUMMYFUNCTION("IMPORTRANGE(""https://docs.google.com/spreadsheets/d/1XL5vhW3sbDhbH9Cz0tuDiY8C3ctxq1tqvaCgkFb8cCA/edit?usp=sharing"",""มหาสารคาม!L430"")"),34340)</f>
        <v>34340</v>
      </c>
      <c r="M535" s="165"/>
      <c r="N535" s="169">
        <f ca="1">IFERROR(__xludf.DUMMYFUNCTION("IMPORTRANGE(""https://docs.google.com/spreadsheets/d/1XL5vhW3sbDhbH9Cz0tuDiY8C3ctxq1tqvaCgkFb8cCA/edit?usp=sharing"",""มหาสารคาม!M430"")"),27480)</f>
        <v>27480</v>
      </c>
      <c r="O535" s="169">
        <f t="shared" ca="1" si="118"/>
        <v>80.023296447291784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IFERROR(__xludf.DUMMYFUNCTION("IMPORTRANGE(""https://docs.google.com/spreadsheets/d/1XL5vhW3sbDhbH9Cz0tuDiY8C3ctxq1tqvaCgkFb8cCA/edit?usp=sharing"",""มหาสารคาม!L431"")"),0)</f>
        <v>0</v>
      </c>
      <c r="M536" s="169"/>
      <c r="N536" s="169">
        <f ca="1">IFERROR(__xludf.DUMMYFUNCTION("IMPORTRANGE(""https://docs.google.com/spreadsheets/d/1XL5vhW3sbDhbH9Cz0tuDiY8C3ctxq1tqvaCgkFb8cCA/edit?usp=sharing"",""มหาสารคาม!M431"")"),0)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IFERROR(__xludf.DUMMYFUNCTION("IMPORTRANGE(""https://docs.google.com/spreadsheets/d/1XL5vhW3sbDhbH9Cz0tuDiY8C3ctxq1tqvaCgkFb8cCA/edit?usp=sharing"",""มหาสารคาม!L432"")"),34340)</f>
        <v>34340</v>
      </c>
      <c r="M537" s="169"/>
      <c r="N537" s="169">
        <f ca="1">IFERROR(__xludf.DUMMYFUNCTION("IMPORTRANGE(""https://docs.google.com/spreadsheets/d/1XL5vhW3sbDhbH9Cz0tuDiY8C3ctxq1tqvaCgkFb8cCA/edit?usp=sharing"",""มหาสารคาม!M432"")"),27480)</f>
        <v>27480</v>
      </c>
      <c r="O537" s="169">
        <f t="shared" ca="1" si="118"/>
        <v>80.023296447291784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IFERROR(__xludf.DUMMYFUNCTION("IMPORTRANGE(""https://docs.google.com/spreadsheets/d/1XL5vhW3sbDhbH9Cz0tuDiY8C3ctxq1tqvaCgkFb8cCA/edit?usp=sharing"",""มหาสารคาม!M433"")"),18610)</f>
        <v>18610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IFERROR(__xludf.DUMMYFUNCTION("IMPORTRANGE(""https://docs.google.com/spreadsheets/d/1XL5vhW3sbDhbH9Cz0tuDiY8C3ctxq1tqvaCgkFb8cCA/edit?usp=sharing"",""มหาสารคาม!M434"")"),0)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IFERROR(__xludf.DUMMYFUNCTION("IMPORTRANGE(""https://docs.google.com/spreadsheets/d/1XL5vhW3sbDhbH9Cz0tuDiY8C3ctxq1tqvaCgkFb8cCA/edit?usp=sharing"",""มหาสารคาม!M435"")"),0)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IFERROR(__xludf.DUMMYFUNCTION("IMPORTRANGE(""https://docs.google.com/spreadsheets/d/1XL5vhW3sbDhbH9Cz0tuDiY8C3ctxq1tqvaCgkFb8cCA/edit?usp=sharing"",""มหาสารคาม!M436"")"),8870)</f>
        <v>8870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IFERROR(__xludf.DUMMYFUNCTION("IMPORTRANGE(""https://docs.google.com/spreadsheets/d/1XL5vhW3sbDhbH9Cz0tuDiY8C3ctxq1tqvaCgkFb8cCA/edit?usp=sharing"",""มหาสารคาม!J438"")"),0)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IFERROR(__xludf.DUMMYFUNCTION("IMPORTRANGE(""https://docs.google.com/spreadsheets/d/1XL5vhW3sbDhbH9Cz0tuDiY8C3ctxq1tqvaCgkFb8cCA/edit?usp=sharing"",""มหาสารคาม!J439"")"),1)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IFERROR(__xludf.DUMMYFUNCTION("IMPORTRANGE(""https://docs.google.com/spreadsheets/d/1XL5vhW3sbDhbH9Cz0tuDiY8C3ctxq1tqvaCgkFb8cCA/edit?usp=sharing"",""มหาสารคาม!J440"")"),1)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IFERROR(__xludf.DUMMYFUNCTION("IMPORTRANGE(""https://docs.google.com/spreadsheets/d/1XL5vhW3sbDhbH9Cz0tuDiY8C3ctxq1tqvaCgkFb8cCA/edit?usp=sharing"",""มหาสารคาม!J441"")"),1)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IFERROR(__xludf.DUMMYFUNCTION("IMPORTRANGE(""https://docs.google.com/spreadsheets/d/1XL5vhW3sbDhbH9Cz0tuDiY8C3ctxq1tqvaCgkFb8cCA/edit?usp=sharing"",""มหาสารคาม!I442"")"),22)</f>
        <v>22</v>
      </c>
      <c r="J547" s="189">
        <f ca="1">IFERROR(__xludf.DUMMYFUNCTION("IMPORTRANGE(""https://docs.google.com/spreadsheets/d/1XL5vhW3sbDhbH9Cz0tuDiY8C3ctxq1tqvaCgkFb8cCA/edit?usp=sharing"",""มหาสารคาม!J442"")"),22)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IFERROR(__xludf.DUMMYFUNCTION("IMPORTRANGE(""https://docs.google.com/spreadsheets/d/1XL5vhW3sbDhbH9Cz0tuDiY8C3ctxq1tqvaCgkFb8cCA/edit?usp=sharing"",""มหาสารคาม!J166"")"),0)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IFERROR(__xludf.DUMMYFUNCTION("IMPORTRANGE(""https://docs.google.com/spreadsheets/d/1XL5vhW3sbDhbH9Cz0tuDiY8C3ctxq1tqvaCgkFb8cCA/edit?usp=sharing"",""มหาสารคาม!J444"")"),0)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IFERROR(__xludf.DUMMYFUNCTION("IMPORTRANGE(""https://docs.google.com/spreadsheets/d/1XL5vhW3sbDhbH9Cz0tuDiY8C3ctxq1tqvaCgkFb8cCA/edit?usp=sharing"",""มหาสารคาม!J445"")"),0)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IFERROR(__xludf.DUMMYFUNCTION("IMPORTRANGE(""https://docs.google.com/spreadsheets/d/1XL5vhW3sbDhbH9Cz0tuDiY8C3ctxq1tqvaCgkFb8cCA/edit?usp=sharing"",""มหาสารคาม!I446"")"),0)</f>
        <v>0</v>
      </c>
      <c r="J551" s="410">
        <f ca="1">IFERROR(__xludf.DUMMYFUNCTION("IMPORTRANGE(""https://docs.google.com/spreadsheets/d/1XL5vhW3sbDhbH9Cz0tuDiY8C3ctxq1tqvaCgkFb8cCA/edit?usp=sharing"",""มหาสารคาม!J446"")"),0)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IFERROR(__xludf.DUMMYFUNCTION("IMPORTRANGE(""https://docs.google.com/spreadsheets/d/1XL5vhW3sbDhbH9Cz0tuDiY8C3ctxq1tqvaCgkFb8cCA/edit?usp=sharing"",""มหาสารคาม!L446"")"),0)</f>
        <v>0</v>
      </c>
      <c r="M551" s="412"/>
      <c r="N551" s="412">
        <f ca="1">IFERROR(__xludf.DUMMYFUNCTION("IMPORTRANGE(""https://docs.google.com/spreadsheets/d/1XL5vhW3sbDhbH9Cz0tuDiY8C3ctxq1tqvaCgkFb8cCA/edit?usp=sharing"",""มหาสารคาม!M446"")"),0)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IFERROR(__xludf.DUMMYFUNCTION("IMPORTRANGE(""https://docs.google.com/spreadsheets/d/1XL5vhW3sbDhbH9Cz0tuDiY8C3ctxq1tqvaCgkFb8cCA/edit?usp=sharing"",""มหาสารคาม!L447"")"),0)</f>
        <v>0</v>
      </c>
      <c r="M552" s="164"/>
      <c r="N552" s="169">
        <f ca="1">IFERROR(__xludf.DUMMYFUNCTION("IMPORTRANGE(""https://docs.google.com/spreadsheets/d/1XL5vhW3sbDhbH9Cz0tuDiY8C3ctxq1tqvaCgkFb8cCA/edit?usp=sharing"",""มหาสารคาม!M447"")"),0)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IFERROR(__xludf.DUMMYFUNCTION("IMPORTRANGE(""https://docs.google.com/spreadsheets/d/1XL5vhW3sbDhbH9Cz0tuDiY8C3ctxq1tqvaCgkFb8cCA/edit?usp=sharing"",""มหาสารคาม!L448"")"),0)</f>
        <v>0</v>
      </c>
      <c r="M553" s="165"/>
      <c r="N553" s="169">
        <f ca="1">IFERROR(__xludf.DUMMYFUNCTION("IMPORTRANGE(""https://docs.google.com/spreadsheets/d/1XL5vhW3sbDhbH9Cz0tuDiY8C3ctxq1tqvaCgkFb8cCA/edit?usp=sharing"",""มหาสารคาม!M448"")"),0)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IFERROR(__xludf.DUMMYFUNCTION("IMPORTRANGE(""https://docs.google.com/spreadsheets/d/1XL5vhW3sbDhbH9Cz0tuDiY8C3ctxq1tqvaCgkFb8cCA/edit?usp=sharing"",""มหาสารคาม!L449"")"),0)</f>
        <v>0</v>
      </c>
      <c r="M554" s="169"/>
      <c r="N554" s="169">
        <f ca="1">IFERROR(__xludf.DUMMYFUNCTION("IMPORTRANGE(""https://docs.google.com/spreadsheets/d/1XL5vhW3sbDhbH9Cz0tuDiY8C3ctxq1tqvaCgkFb8cCA/edit?usp=sharing"",""มหาสารคาม!M449"")"),0)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IFERROR(__xludf.DUMMYFUNCTION("IMPORTRANGE(""https://docs.google.com/spreadsheets/d/1XL5vhW3sbDhbH9Cz0tuDiY8C3ctxq1tqvaCgkFb8cCA/edit?usp=sharing"",""มหาสารคาม!L450"")"),0)</f>
        <v>0</v>
      </c>
      <c r="M555" s="169"/>
      <c r="N555" s="169">
        <f ca="1">IFERROR(__xludf.DUMMYFUNCTION("IMPORTRANGE(""https://docs.google.com/spreadsheets/d/1XL5vhW3sbDhbH9Cz0tuDiY8C3ctxq1tqvaCgkFb8cCA/edit?usp=sharing"",""มหาสารคาม!M450"")"),0)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IFERROR(__xludf.DUMMYFUNCTION("IMPORTRANGE(""https://docs.google.com/spreadsheets/d/1XL5vhW3sbDhbH9Cz0tuDiY8C3ctxq1tqvaCgkFb8cCA/edit?usp=sharing"",""มหาสารคาม!M451"")"),0)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IFERROR(__xludf.DUMMYFUNCTION("IMPORTRANGE(""https://docs.google.com/spreadsheets/d/1XL5vhW3sbDhbH9Cz0tuDiY8C3ctxq1tqvaCgkFb8cCA/edit?usp=sharing"",""มหาสารคาม!M452"")"),0)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IFERROR(__xludf.DUMMYFUNCTION("IMPORTRANGE(""https://docs.google.com/spreadsheets/d/1XL5vhW3sbDhbH9Cz0tuDiY8C3ctxq1tqvaCgkFb8cCA/edit?usp=sharing"",""มหาสารคาม!M453"")"),0)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IFERROR(__xludf.DUMMYFUNCTION("IMPORTRANGE(""https://docs.google.com/spreadsheets/d/1XL5vhW3sbDhbH9Cz0tuDiY8C3ctxq1tqvaCgkFb8cCA/edit?usp=sharing"",""มหาสารคาม!M454"")"),0)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IFERROR(__xludf.DUMMYFUNCTION("IMPORTRANGE(""https://docs.google.com/spreadsheets/d/1XL5vhW3sbDhbH9Cz0tuDiY8C3ctxq1tqvaCgkFb8cCA/edit?usp=sharing"",""มหาสารคาม!I455"")"),0)</f>
        <v>0</v>
      </c>
      <c r="J560" s="162">
        <f ca="1">IFERROR(__xludf.DUMMYFUNCTION("IMPORTRANGE(""https://docs.google.com/spreadsheets/d/1XL5vhW3sbDhbH9Cz0tuDiY8C3ctxq1tqvaCgkFb8cCA/edit?usp=sharing"",""มหาสารคาม!J455"")"),0)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IFERROR(__xludf.DUMMYFUNCTION("IMPORTRANGE(""https://docs.google.com/spreadsheets/d/1XL5vhW3sbDhbH9Cz0tuDiY8C3ctxq1tqvaCgkFb8cCA/edit?usp=sharing"",""มหาสารคาม!I456"")"),0)</f>
        <v>0</v>
      </c>
      <c r="J561" s="204">
        <f ca="1">IFERROR(__xludf.DUMMYFUNCTION("IMPORTRANGE(""https://docs.google.com/spreadsheets/d/1XL5vhW3sbDhbH9Cz0tuDiY8C3ctxq1tqvaCgkFb8cCA/edit?usp=sharing"",""มหาสารคาม!J456"")"),0)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IFERROR(__xludf.DUMMYFUNCTION("IMPORTRANGE(""https://docs.google.com/spreadsheets/d/1XL5vhW3sbDhbH9Cz0tuDiY8C3ctxq1tqvaCgkFb8cCA/edit?usp=sharing"",""มหาสารคาม!I459"")"),950)</f>
        <v>950</v>
      </c>
      <c r="J564" s="371">
        <f ca="1">IFERROR(__xludf.DUMMYFUNCTION("IMPORTRANGE(""https://docs.google.com/spreadsheets/d/1XL5vhW3sbDhbH9Cz0tuDiY8C3ctxq1tqvaCgkFb8cCA/edit?usp=sharing"",""มหาสารคาม!J459"")"),1297)</f>
        <v>1297</v>
      </c>
      <c r="K564" s="372">
        <f ca="1">IF(I564&gt;0,J564*100/I564,0)</f>
        <v>136.52631578947367</v>
      </c>
      <c r="L564" s="373">
        <f ca="1">IFERROR(__xludf.DUMMYFUNCTION("IMPORTRANGE(""https://docs.google.com/spreadsheets/d/1XL5vhW3sbDhbH9Cz0tuDiY8C3ctxq1tqvaCgkFb8cCA/edit?usp=sharing"",""มหาสารคาม!L459"")"),126080)</f>
        <v>126080</v>
      </c>
      <c r="M564" s="373"/>
      <c r="N564" s="373">
        <f ca="1">IFERROR(__xludf.DUMMYFUNCTION("IMPORTRANGE(""https://docs.google.com/spreadsheets/d/1XL5vhW3sbDhbH9Cz0tuDiY8C3ctxq1tqvaCgkFb8cCA/edit?usp=sharing"",""มหาสารคาม!M459"")"),78015.48)</f>
        <v>78015.48</v>
      </c>
      <c r="O564" s="373">
        <f t="shared" ref="O564:O568" ca="1" si="122">+IF(L564&gt;0,N564*100/L564,0)</f>
        <v>61.877760152284267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IFERROR(__xludf.DUMMYFUNCTION("IMPORTRANGE(""https://docs.google.com/spreadsheets/d/1XL5vhW3sbDhbH9Cz0tuDiY8C3ctxq1tqvaCgkFb8cCA/edit?usp=sharing"",""มหาสารคาม!L460"")"),0)</f>
        <v>0</v>
      </c>
      <c r="M565" s="164"/>
      <c r="N565" s="169">
        <f ca="1">IFERROR(__xludf.DUMMYFUNCTION("IMPORTRANGE(""https://docs.google.com/spreadsheets/d/1XL5vhW3sbDhbH9Cz0tuDiY8C3ctxq1tqvaCgkFb8cCA/edit?usp=sharing"",""มหาสารคาม!M460"")"),0)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IFERROR(__xludf.DUMMYFUNCTION("IMPORTRANGE(""https://docs.google.com/spreadsheets/d/1XL5vhW3sbDhbH9Cz0tuDiY8C3ctxq1tqvaCgkFb8cCA/edit?usp=sharing"",""มหาสารคาม!L461"")"),126080)</f>
        <v>126080</v>
      </c>
      <c r="M566" s="165"/>
      <c r="N566" s="169">
        <f ca="1">IFERROR(__xludf.DUMMYFUNCTION("IMPORTRANGE(""https://docs.google.com/spreadsheets/d/1XL5vhW3sbDhbH9Cz0tuDiY8C3ctxq1tqvaCgkFb8cCA/edit?usp=sharing"",""มหาสารคาม!M461"")"),78015.48)</f>
        <v>78015.48</v>
      </c>
      <c r="O566" s="169">
        <f t="shared" ca="1" si="122"/>
        <v>61.877760152284267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IFERROR(__xludf.DUMMYFUNCTION("IMPORTRANGE(""https://docs.google.com/spreadsheets/d/1XL5vhW3sbDhbH9Cz0tuDiY8C3ctxq1tqvaCgkFb8cCA/edit?usp=sharing"",""มหาสารคาม!L462"")"),0)</f>
        <v>0</v>
      </c>
      <c r="M567" s="169"/>
      <c r="N567" s="169">
        <f ca="1">IFERROR(__xludf.DUMMYFUNCTION("IMPORTRANGE(""https://docs.google.com/spreadsheets/d/1XL5vhW3sbDhbH9Cz0tuDiY8C3ctxq1tqvaCgkFb8cCA/edit?usp=sharing"",""มหาสารคาม!M462"")"),0)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IFERROR(__xludf.DUMMYFUNCTION("IMPORTRANGE(""https://docs.google.com/spreadsheets/d/1XL5vhW3sbDhbH9Cz0tuDiY8C3ctxq1tqvaCgkFb8cCA/edit?usp=sharing"",""มหาสารคาม!L463"")"),126080)</f>
        <v>126080</v>
      </c>
      <c r="M568" s="169"/>
      <c r="N568" s="169">
        <f ca="1">IFERROR(__xludf.DUMMYFUNCTION("IMPORTRANGE(""https://docs.google.com/spreadsheets/d/1XL5vhW3sbDhbH9Cz0tuDiY8C3ctxq1tqvaCgkFb8cCA/edit?usp=sharing"",""มหาสารคาม!M463"")"),78015.48)</f>
        <v>78015.48</v>
      </c>
      <c r="O568" s="169">
        <f t="shared" ca="1" si="122"/>
        <v>61.877760152284267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IFERROR(__xludf.DUMMYFUNCTION("IMPORTRANGE(""https://docs.google.com/spreadsheets/d/1XL5vhW3sbDhbH9Cz0tuDiY8C3ctxq1tqvaCgkFb8cCA/edit?usp=sharing"",""มหาสารคาม!M464"")"),0)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IFERROR(__xludf.DUMMYFUNCTION("IMPORTRANGE(""https://docs.google.com/spreadsheets/d/1XL5vhW3sbDhbH9Cz0tuDiY8C3ctxq1tqvaCgkFb8cCA/edit?usp=sharing"",""มหาสารคาม!M465"")"),0)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IFERROR(__xludf.DUMMYFUNCTION("IMPORTRANGE(""https://docs.google.com/spreadsheets/d/1XL5vhW3sbDhbH9Cz0tuDiY8C3ctxq1tqvaCgkFb8cCA/edit?usp=sharing"",""มหาสารคาม!M466"")"),64935.48)</f>
        <v>64935.48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IFERROR(__xludf.DUMMYFUNCTION("IMPORTRANGE(""https://docs.google.com/spreadsheets/d/1XL5vhW3sbDhbH9Cz0tuDiY8C3ctxq1tqvaCgkFb8cCA/edit?usp=sharing"",""มหาสารคาม!M467"")"),13080)</f>
        <v>13080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IFERROR(__xludf.DUMMYFUNCTION("IMPORTRANGE(""https://docs.google.com/spreadsheets/d/1XL5vhW3sbDhbH9Cz0tuDiY8C3ctxq1tqvaCgkFb8cCA/edit?usp=sharing"",""มหาสารคาม!I468"")"),950)</f>
        <v>950</v>
      </c>
      <c r="J573" s="420">
        <f ca="1">IFERROR(__xludf.DUMMYFUNCTION("IMPORTRANGE(""https://docs.google.com/spreadsheets/d/1XL5vhW3sbDhbH9Cz0tuDiY8C3ctxq1tqvaCgkFb8cCA/edit?usp=sharing"",""มหาสารคาม!J468"")"),1297)</f>
        <v>1297</v>
      </c>
      <c r="K573" s="202">
        <f ca="1">IF(I573&gt;0,J573*100/I573,0)</f>
        <v>136.52631578947367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IFERROR(__xludf.DUMMYFUNCTION("IMPORTRANGE(""https://docs.google.com/spreadsheets/d/1XL5vhW3sbDhbH9Cz0tuDiY8C3ctxq1tqvaCgkFb8cCA/edit?usp=sharing"",""มหาสารคาม!I470"")"),0)</f>
        <v>0</v>
      </c>
      <c r="J575" s="198">
        <f ca="1">IFERROR(__xludf.DUMMYFUNCTION("IMPORTRANGE(""https://docs.google.com/spreadsheets/d/1XL5vhW3sbDhbH9Cz0tuDiY8C3ctxq1tqvaCgkFb8cCA/edit?usp=sharing"",""มหาสารคาม!J470"")"),2)</f>
        <v>2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IFERROR(__xludf.DUMMYFUNCTION("IMPORTRANGE(""https://docs.google.com/spreadsheets/d/1XL5vhW3sbDhbH9Cz0tuDiY8C3ctxq1tqvaCgkFb8cCA/edit?usp=sharing"",""มหาสารคาม!I471"")"),0)</f>
        <v>0</v>
      </c>
      <c r="J576" s="198">
        <f ca="1">IFERROR(__xludf.DUMMYFUNCTION("IMPORTRANGE(""https://docs.google.com/spreadsheets/d/1XL5vhW3sbDhbH9Cz0tuDiY8C3ctxq1tqvaCgkFb8cCA/edit?usp=sharing"",""มหาสารคาม!J471"")"),51)</f>
        <v>51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IFERROR(__xludf.DUMMYFUNCTION("IMPORTRANGE(""https://docs.google.com/spreadsheets/d/1XL5vhW3sbDhbH9Cz0tuDiY8C3ctxq1tqvaCgkFb8cCA/edit?usp=sharing"",""มหาสารคาม!I472"")"),0)</f>
        <v>0</v>
      </c>
      <c r="J577" s="189">
        <f ca="1">IFERROR(__xludf.DUMMYFUNCTION("IMPORTRANGE(""https://docs.google.com/spreadsheets/d/1XL5vhW3sbDhbH9Cz0tuDiY8C3ctxq1tqvaCgkFb8cCA/edit?usp=sharing"",""มหาสารคาม!J472"")"),1246)</f>
        <v>1246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IFERROR(__xludf.DUMMYFUNCTION("IMPORTRANGE(""https://docs.google.com/spreadsheets/d/1XL5vhW3sbDhbH9Cz0tuDiY8C3ctxq1tqvaCgkFb8cCA/edit?usp=sharing"",""มหาสารคาม!I473"")"),0)</f>
        <v>0</v>
      </c>
      <c r="J578" s="198">
        <f ca="1">IFERROR(__xludf.DUMMYFUNCTION("IMPORTRANGE(""https://docs.google.com/spreadsheets/d/1XL5vhW3sbDhbH9Cz0tuDiY8C3ctxq1tqvaCgkFb8cCA/edit?usp=sharing"",""มหาสารคาม!J473"")"),0)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IFERROR(__xludf.DUMMYFUNCTION("IMPORTRANGE(""https://docs.google.com/spreadsheets/d/1XL5vhW3sbDhbH9Cz0tuDiY8C3ctxq1tqvaCgkFb8cCA/edit?usp=sharing"",""มหาสารคาม!I474"")"),0)</f>
        <v>0</v>
      </c>
      <c r="J579" s="198">
        <f ca="1">IFERROR(__xludf.DUMMYFUNCTION("IMPORTRANGE(""https://docs.google.com/spreadsheets/d/1XL5vhW3sbDhbH9Cz0tuDiY8C3ctxq1tqvaCgkFb8cCA/edit?usp=sharing"",""มหาสารคาม!J474"")"),0)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IFERROR(__xludf.DUMMYFUNCTION("IMPORTRANGE(""https://docs.google.com/spreadsheets/d/1XL5vhW3sbDhbH9Cz0tuDiY8C3ctxq1tqvaCgkFb8cCA/edit?usp=sharing"",""มหาสารคาม!I475"")"),0)</f>
        <v>0</v>
      </c>
      <c r="J580" s="371">
        <f ca="1">IFERROR(__xludf.DUMMYFUNCTION("IMPORTRANGE(""https://docs.google.com/spreadsheets/d/1XL5vhW3sbDhbH9Cz0tuDiY8C3ctxq1tqvaCgkFb8cCA/edit?usp=sharing"",""มหาสารคาม!J475"")"),0)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IFERROR(__xludf.DUMMYFUNCTION("IMPORTRANGE(""https://docs.google.com/spreadsheets/d/1XL5vhW3sbDhbH9Cz0tuDiY8C3ctxq1tqvaCgkFb8cCA/edit?usp=sharing"",""มหาสารคาม!L475"")"),0)</f>
        <v>0</v>
      </c>
      <c r="M580" s="373"/>
      <c r="N580" s="373">
        <f ca="1">IFERROR(__xludf.DUMMYFUNCTION("IMPORTRANGE(""https://docs.google.com/spreadsheets/d/1XL5vhW3sbDhbH9Cz0tuDiY8C3ctxq1tqvaCgkFb8cCA/edit?usp=sharing"",""มหาสารคาม!M475"")"),0)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IFERROR(__xludf.DUMMYFUNCTION("IMPORTRANGE(""https://docs.google.com/spreadsheets/d/1XL5vhW3sbDhbH9Cz0tuDiY8C3ctxq1tqvaCgkFb8cCA/edit?usp=sharing"",""มหาสารคาม!L476"")"),0)</f>
        <v>0</v>
      </c>
      <c r="M581" s="164"/>
      <c r="N581" s="169">
        <f ca="1">IFERROR(__xludf.DUMMYFUNCTION("IMPORTRANGE(""https://docs.google.com/spreadsheets/d/1XL5vhW3sbDhbH9Cz0tuDiY8C3ctxq1tqvaCgkFb8cCA/edit?usp=sharing"",""มหาสารคาม!M476"")"),0)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IFERROR(__xludf.DUMMYFUNCTION("IMPORTRANGE(""https://docs.google.com/spreadsheets/d/1XL5vhW3sbDhbH9Cz0tuDiY8C3ctxq1tqvaCgkFb8cCA/edit?usp=sharing"",""มหาสารคาม!L477"")"),0)</f>
        <v>0</v>
      </c>
      <c r="M582" s="165"/>
      <c r="N582" s="169">
        <f ca="1">IFERROR(__xludf.DUMMYFUNCTION("IMPORTRANGE(""https://docs.google.com/spreadsheets/d/1XL5vhW3sbDhbH9Cz0tuDiY8C3ctxq1tqvaCgkFb8cCA/edit?usp=sharing"",""มหาสารคาม!M477"")"),0)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IFERROR(__xludf.DUMMYFUNCTION("IMPORTRANGE(""https://docs.google.com/spreadsheets/d/1XL5vhW3sbDhbH9Cz0tuDiY8C3ctxq1tqvaCgkFb8cCA/edit?usp=sharing"",""มหาสารคาม!L478"")"),0)</f>
        <v>0</v>
      </c>
      <c r="M583" s="169"/>
      <c r="N583" s="169">
        <f ca="1">IFERROR(__xludf.DUMMYFUNCTION("IMPORTRANGE(""https://docs.google.com/spreadsheets/d/1XL5vhW3sbDhbH9Cz0tuDiY8C3ctxq1tqvaCgkFb8cCA/edit?usp=sharing"",""มหาสารคาม!M478"")"),0)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IFERROR(__xludf.DUMMYFUNCTION("IMPORTRANGE(""https://docs.google.com/spreadsheets/d/1XL5vhW3sbDhbH9Cz0tuDiY8C3ctxq1tqvaCgkFb8cCA/edit?usp=sharing"",""มหาสารคาม!L479"")"),0)</f>
        <v>0</v>
      </c>
      <c r="M584" s="169"/>
      <c r="N584" s="169">
        <f ca="1">IFERROR(__xludf.DUMMYFUNCTION("IMPORTRANGE(""https://docs.google.com/spreadsheets/d/1XL5vhW3sbDhbH9Cz0tuDiY8C3ctxq1tqvaCgkFb8cCA/edit?usp=sharing"",""มหาสารคาม!M479"")"),0)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IFERROR(__xludf.DUMMYFUNCTION("IMPORTRANGE(""https://docs.google.com/spreadsheets/d/1XL5vhW3sbDhbH9Cz0tuDiY8C3ctxq1tqvaCgkFb8cCA/edit?usp=sharing"",""มหาสารคาม!M480"")"),0)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IFERROR(__xludf.DUMMYFUNCTION("IMPORTRANGE(""https://docs.google.com/spreadsheets/d/1XL5vhW3sbDhbH9Cz0tuDiY8C3ctxq1tqvaCgkFb8cCA/edit?usp=sharing"",""มหาสารคาม!M481"")"),0)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IFERROR(__xludf.DUMMYFUNCTION("IMPORTRANGE(""https://docs.google.com/spreadsheets/d/1XL5vhW3sbDhbH9Cz0tuDiY8C3ctxq1tqvaCgkFb8cCA/edit?usp=sharing"",""มหาสารคาม!M482"")"),0)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IFERROR(__xludf.DUMMYFUNCTION("IMPORTRANGE(""https://docs.google.com/spreadsheets/d/1XL5vhW3sbDhbH9Cz0tuDiY8C3ctxq1tqvaCgkFb8cCA/edit?usp=sharing"",""มหาสารคาม!M483"")"),0)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IFERROR(__xludf.DUMMYFUNCTION("IMPORTRANGE(""https://docs.google.com/spreadsheets/d/1XL5vhW3sbDhbH9Cz0tuDiY8C3ctxq1tqvaCgkFb8cCA/edit?usp=sharing"",""มหาสารคาม!I484"")"),0)</f>
        <v>0</v>
      </c>
      <c r="J589" s="188">
        <f ca="1">IFERROR(__xludf.DUMMYFUNCTION("IMPORTRANGE(""https://docs.google.com/spreadsheets/d/1XL5vhW3sbDhbH9Cz0tuDiY8C3ctxq1tqvaCgkFb8cCA/edit?usp=sharing"",""มหาสารคาม!J484"")"),0)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IFERROR(__xludf.DUMMYFUNCTION("IMPORTRANGE(""https://docs.google.com/spreadsheets/d/1XL5vhW3sbDhbH9Cz0tuDiY8C3ctxq1tqvaCgkFb8cCA/edit?usp=sharing"",""มหาสารคาม!I485"")"),0)</f>
        <v>0</v>
      </c>
      <c r="J590" s="188">
        <f ca="1">IFERROR(__xludf.DUMMYFUNCTION("IMPORTRANGE(""https://docs.google.com/spreadsheets/d/1XL5vhW3sbDhbH9Cz0tuDiY8C3ctxq1tqvaCgkFb8cCA/edit?usp=sharing"",""มหาสารคาม!J485"")"),0)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IFERROR(__xludf.DUMMYFUNCTION("IMPORTRANGE(""https://docs.google.com/spreadsheets/d/1XL5vhW3sbDhbH9Cz0tuDiY8C3ctxq1tqvaCgkFb8cCA/edit?usp=sharing"",""มหาสารคาม!I486"")"),0)</f>
        <v>0</v>
      </c>
      <c r="J591" s="188">
        <f ca="1">IFERROR(__xludf.DUMMYFUNCTION("IMPORTRANGE(""https://docs.google.com/spreadsheets/d/1XL5vhW3sbDhbH9Cz0tuDiY8C3ctxq1tqvaCgkFb8cCA/edit?usp=sharing"",""มหาสารคาม!J486"")"),0)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IFERROR(__xludf.DUMMYFUNCTION("IMPORTRANGE(""https://docs.google.com/spreadsheets/d/1XL5vhW3sbDhbH9Cz0tuDiY8C3ctxq1tqvaCgkFb8cCA/edit?usp=sharing"",""มหาสารคาม!I487"")"),0)</f>
        <v>0</v>
      </c>
      <c r="J592" s="188">
        <f ca="1">IFERROR(__xludf.DUMMYFUNCTION("IMPORTRANGE(""https://docs.google.com/spreadsheets/d/1XL5vhW3sbDhbH9Cz0tuDiY8C3ctxq1tqvaCgkFb8cCA/edit?usp=sharing"",""มหาสารคาม!J487"")"),0)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IFERROR(__xludf.DUMMYFUNCTION("IMPORTRANGE(""https://docs.google.com/spreadsheets/d/1XL5vhW3sbDhbH9Cz0tuDiY8C3ctxq1tqvaCgkFb8cCA/edit?usp=sharing"",""มหาสารคาม!I488"")"),0)</f>
        <v>0</v>
      </c>
      <c r="J593" s="188">
        <f ca="1">IFERROR(__xludf.DUMMYFUNCTION("IMPORTRANGE(""https://docs.google.com/spreadsheets/d/1XL5vhW3sbDhbH9Cz0tuDiY8C3ctxq1tqvaCgkFb8cCA/edit?usp=sharing"",""มหาสารคาม!J488"")"),0)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IFERROR(__xludf.DUMMYFUNCTION("IMPORTRANGE(""https://docs.google.com/spreadsheets/d/1XL5vhW3sbDhbH9Cz0tuDiY8C3ctxq1tqvaCgkFb8cCA/edit?usp=sharing"",""มหาสารคาม!I489"")"),0)</f>
        <v>0</v>
      </c>
      <c r="J594" s="188">
        <f ca="1">IFERROR(__xludf.DUMMYFUNCTION("IMPORTRANGE(""https://docs.google.com/spreadsheets/d/1XL5vhW3sbDhbH9Cz0tuDiY8C3ctxq1tqvaCgkFb8cCA/edit?usp=sharing"",""มหาสารคาม!J489"")"),0)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IFERROR(__xludf.DUMMYFUNCTION("IMPORTRANGE(""https://docs.google.com/spreadsheets/d/1XL5vhW3sbDhbH9Cz0tuDiY8C3ctxq1tqvaCgkFb8cCA/edit?usp=sharing"",""มหาสารคาม!I490"")"),0)</f>
        <v>0</v>
      </c>
      <c r="J595" s="188">
        <f ca="1">IFERROR(__xludf.DUMMYFUNCTION("IMPORTRANGE(""https://docs.google.com/spreadsheets/d/1XL5vhW3sbDhbH9Cz0tuDiY8C3ctxq1tqvaCgkFb8cCA/edit?usp=sharing"",""มหาสารคาม!J490"")"),0)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IFERROR(__xludf.DUMMYFUNCTION("IMPORTRANGE(""https://docs.google.com/spreadsheets/d/1XL5vhW3sbDhbH9Cz0tuDiY8C3ctxq1tqvaCgkFb8cCA/edit?usp=sharing"",""มหาสารคาม!I491"")"),0)</f>
        <v>0</v>
      </c>
      <c r="J596" s="241">
        <f ca="1">IFERROR(__xludf.DUMMYFUNCTION("IMPORTRANGE(""https://docs.google.com/spreadsheets/d/1XL5vhW3sbDhbH9Cz0tuDiY8C3ctxq1tqvaCgkFb8cCA/edit?usp=sharing"",""มหาสารคาม!J491"")"),0)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IFERROR(__xludf.DUMMYFUNCTION("IMPORTRANGE(""https://docs.google.com/spreadsheets/d/1XL5vhW3sbDhbH9Cz0tuDiY8C3ctxq1tqvaCgkFb8cCA/edit?usp=sharing"",""มหาสารคาม!I492"")"),100)</f>
        <v>100</v>
      </c>
      <c r="J597" s="487">
        <f ca="1">IFERROR(__xludf.DUMMYFUNCTION("IMPORTRANGE(""https://docs.google.com/spreadsheets/d/1XL5vhW3sbDhbH9Cz0tuDiY8C3ctxq1tqvaCgkFb8cCA/edit?usp=sharing"",""มหาสารคาม!J492"")"),0)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IFERROR(__xludf.DUMMYFUNCTION("IMPORTRANGE(""https://docs.google.com/spreadsheets/d/1XL5vhW3sbDhbH9Cz0tuDiY8C3ctxq1tqvaCgkFb8cCA/edit?usp=sharing"",""มหาสารคาม!L492"")"),15300)</f>
        <v>15300</v>
      </c>
      <c r="M597" s="412"/>
      <c r="N597" s="412">
        <f ca="1">IFERROR(__xludf.DUMMYFUNCTION("IMPORTRANGE(""https://docs.google.com/spreadsheets/d/1XL5vhW3sbDhbH9Cz0tuDiY8C3ctxq1tqvaCgkFb8cCA/edit?usp=sharing"",""มหาสารคาม!M492"")"),6200)</f>
        <v>6200</v>
      </c>
      <c r="O597" s="412">
        <f t="shared" ref="O597:O601" ca="1" si="126">+IF(L597&gt;0,N597*100/L597,0)</f>
        <v>40.522875816993462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IFERROR(__xludf.DUMMYFUNCTION("IMPORTRANGE(""https://docs.google.com/spreadsheets/d/1XL5vhW3sbDhbH9Cz0tuDiY8C3ctxq1tqvaCgkFb8cCA/edit?usp=sharing"",""มหาสารคาม!L493"")"),0)</f>
        <v>0</v>
      </c>
      <c r="M598" s="164"/>
      <c r="N598" s="169">
        <f ca="1">IFERROR(__xludf.DUMMYFUNCTION("IMPORTRANGE(""https://docs.google.com/spreadsheets/d/1XL5vhW3sbDhbH9Cz0tuDiY8C3ctxq1tqvaCgkFb8cCA/edit?usp=sharing"",""มหาสารคาม!M493"")"),0)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IFERROR(__xludf.DUMMYFUNCTION("IMPORTRANGE(""https://docs.google.com/spreadsheets/d/1XL5vhW3sbDhbH9Cz0tuDiY8C3ctxq1tqvaCgkFb8cCA/edit?usp=sharing"",""มหาสารคาม!L494"")"),15300)</f>
        <v>15300</v>
      </c>
      <c r="M599" s="165"/>
      <c r="N599" s="169">
        <f ca="1">IFERROR(__xludf.DUMMYFUNCTION("IMPORTRANGE(""https://docs.google.com/spreadsheets/d/1XL5vhW3sbDhbH9Cz0tuDiY8C3ctxq1tqvaCgkFb8cCA/edit?usp=sharing"",""มหาสารคาม!M494"")"),6200)</f>
        <v>6200</v>
      </c>
      <c r="O599" s="169">
        <f t="shared" ca="1" si="126"/>
        <v>40.522875816993462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IFERROR(__xludf.DUMMYFUNCTION("IMPORTRANGE(""https://docs.google.com/spreadsheets/d/1XL5vhW3sbDhbH9Cz0tuDiY8C3ctxq1tqvaCgkFb8cCA/edit?usp=sharing"",""มหาสารคาม!L495"")"),0)</f>
        <v>0</v>
      </c>
      <c r="M600" s="169"/>
      <c r="N600" s="169">
        <f ca="1">IFERROR(__xludf.DUMMYFUNCTION("IMPORTRANGE(""https://docs.google.com/spreadsheets/d/1XL5vhW3sbDhbH9Cz0tuDiY8C3ctxq1tqvaCgkFb8cCA/edit?usp=sharing"",""มหาสารคาม!M495"")"),0)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IFERROR(__xludf.DUMMYFUNCTION("IMPORTRANGE(""https://docs.google.com/spreadsheets/d/1XL5vhW3sbDhbH9Cz0tuDiY8C3ctxq1tqvaCgkFb8cCA/edit?usp=sharing"",""มหาสารคาม!L496"")"),15300)</f>
        <v>15300</v>
      </c>
      <c r="M601" s="169"/>
      <c r="N601" s="169">
        <f ca="1">IFERROR(__xludf.DUMMYFUNCTION("IMPORTRANGE(""https://docs.google.com/spreadsheets/d/1XL5vhW3sbDhbH9Cz0tuDiY8C3ctxq1tqvaCgkFb8cCA/edit?usp=sharing"",""มหาสารคาม!M496"")"),6200)</f>
        <v>6200</v>
      </c>
      <c r="O601" s="169">
        <f t="shared" ca="1" si="126"/>
        <v>40.522875816993462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IFERROR(__xludf.DUMMYFUNCTION("IMPORTRANGE(""https://docs.google.com/spreadsheets/d/1XL5vhW3sbDhbH9Cz0tuDiY8C3ctxq1tqvaCgkFb8cCA/edit?usp=sharing"",""มหาสารคาม!M497"")"),0)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IFERROR(__xludf.DUMMYFUNCTION("IMPORTRANGE(""https://docs.google.com/spreadsheets/d/1XL5vhW3sbDhbH9Cz0tuDiY8C3ctxq1tqvaCgkFb8cCA/edit?usp=sharing"",""มหาสารคาม!M498"")"),0)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IFERROR(__xludf.DUMMYFUNCTION("IMPORTRANGE(""https://docs.google.com/spreadsheets/d/1XL5vhW3sbDhbH9Cz0tuDiY8C3ctxq1tqvaCgkFb8cCA/edit?usp=sharing"",""มหาสารคาม!M499"")"),0)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IFERROR(__xludf.DUMMYFUNCTION("IMPORTRANGE(""https://docs.google.com/spreadsheets/d/1XL5vhW3sbDhbH9Cz0tuDiY8C3ctxq1tqvaCgkFb8cCA/edit?usp=sharing"",""มหาสารคาม!M500"")"),6200)</f>
        <v>6200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IFERROR(__xludf.DUMMYFUNCTION("IMPORTRANGE(""https://docs.google.com/spreadsheets/d/1XL5vhW3sbDhbH9Cz0tuDiY8C3ctxq1tqvaCgkFb8cCA/edit?usp=sharing"",""มหาสารคาม!J502"")"),0)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IFERROR(__xludf.DUMMYFUNCTION("IMPORTRANGE(""https://docs.google.com/spreadsheets/d/1XL5vhW3sbDhbH9Cz0tuDiY8C3ctxq1tqvaCgkFb8cCA/edit?usp=sharing"",""มหาสารคาม!J503"")"),1)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539"/>
      <c r="B609" s="540"/>
      <c r="C609" s="540"/>
      <c r="D609" s="541"/>
      <c r="E609" s="542" t="s">
        <v>46</v>
      </c>
      <c r="F609" s="543"/>
      <c r="G609" s="544"/>
      <c r="H609" s="545"/>
      <c r="I609" s="546"/>
      <c r="J609" s="546">
        <f ca="1">IFERROR(__xludf.DUMMYFUNCTION("IMPORTRANGE(""https://docs.google.com/spreadsheets/d/1XL5vhW3sbDhbH9Cz0tuDiY8C3ctxq1tqvaCgkFb8cCA/edit?usp=sharing"",""มหาสารคาม!J166"")"),0)</f>
        <v>0</v>
      </c>
      <c r="K609" s="547"/>
      <c r="L609" s="548"/>
      <c r="M609" s="548"/>
      <c r="N609" s="548"/>
      <c r="O609" s="548"/>
      <c r="P609" s="548"/>
    </row>
    <row r="610" spans="1:16" ht="21.75" hidden="1" customHeight="1" x14ac:dyDescent="0.35">
      <c r="A610" s="539"/>
      <c r="B610" s="540"/>
      <c r="C610" s="540"/>
      <c r="D610" s="541"/>
      <c r="E610" s="542" t="s">
        <v>47</v>
      </c>
      <c r="F610" s="543"/>
      <c r="G610" s="544"/>
      <c r="H610" s="545"/>
      <c r="I610" s="546"/>
      <c r="J610" s="546">
        <f ca="1">IFERROR(__xludf.DUMMYFUNCTION("IMPORTRANGE(""https://docs.google.com/spreadsheets/d/1XL5vhW3sbDhbH9Cz0tuDiY8C3ctxq1tqvaCgkFb8cCA/edit?usp=sharing"",""มหาสารคาม!J166"")"),0)</f>
        <v>0</v>
      </c>
      <c r="K610" s="547"/>
      <c r="L610" s="548"/>
      <c r="M610" s="548"/>
      <c r="N610" s="548"/>
      <c r="O610" s="548"/>
      <c r="P610" s="548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IFERROR(__xludf.DUMMYFUNCTION("IMPORTRANGE(""https://docs.google.com/spreadsheets/d/1XL5vhW3sbDhbH9Cz0tuDiY8C3ctxq1tqvaCgkFb8cCA/edit?usp=sharing"",""มหาสารคาม!I506"")"),100)</f>
        <v>100</v>
      </c>
      <c r="J611" s="162">
        <f ca="1">IFERROR(__xludf.DUMMYFUNCTION("IMPORTRANGE(""https://docs.google.com/spreadsheets/d/1XL5vhW3sbDhbH9Cz0tuDiY8C3ctxq1tqvaCgkFb8cCA/edit?usp=sharing"",""มหาสารคาม!J506"")"),0)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IFERROR(__xludf.DUMMYFUNCTION("IMPORTRANGE(""https://docs.google.com/spreadsheets/d/1XL5vhW3sbDhbH9Cz0tuDiY8C3ctxq1tqvaCgkFb8cCA/edit?usp=sharing"",""มหาสารคาม!I507"")"),0)</f>
        <v>0</v>
      </c>
      <c r="J612" s="198">
        <f ca="1">IFERROR(__xludf.DUMMYFUNCTION("IMPORTRANGE(""https://docs.google.com/spreadsheets/d/1XL5vhW3sbDhbH9Cz0tuDiY8C3ctxq1tqvaCgkFb8cCA/edit?usp=sharing"",""มหาสารคาม!J507"")"),77)</f>
        <v>77</v>
      </c>
      <c r="K612" s="163">
        <f t="shared" ca="1" si="127"/>
        <v>77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IFERROR(__xludf.DUMMYFUNCTION("IMPORTRANGE(""https://docs.google.com/spreadsheets/d/1XL5vhW3sbDhbH9Cz0tuDiY8C3ctxq1tqvaCgkFb8cCA/edit?usp=sharing"",""มหาสารคาม!I508"")"),0)</f>
        <v>0</v>
      </c>
      <c r="J613" s="198">
        <f ca="1">IFERROR(__xludf.DUMMYFUNCTION("IMPORTRANGE(""https://docs.google.com/spreadsheets/d/1XL5vhW3sbDhbH9Cz0tuDiY8C3ctxq1tqvaCgkFb8cCA/edit?usp=sharing"",""มหาสารคาม!J508"")"),77)</f>
        <v>77</v>
      </c>
      <c r="K613" s="163">
        <f t="shared" ca="1" si="127"/>
        <v>77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IFERROR(__xludf.DUMMYFUNCTION("IMPORTRANGE(""https://docs.google.com/spreadsheets/d/1XL5vhW3sbDhbH9Cz0tuDiY8C3ctxq1tqvaCgkFb8cCA/edit?usp=sharing"",""มหาสารคาม!I509"")"),0)</f>
        <v>0</v>
      </c>
      <c r="J614" s="198">
        <f ca="1">IFERROR(__xludf.DUMMYFUNCTION("IMPORTRANGE(""https://docs.google.com/spreadsheets/d/1XL5vhW3sbDhbH9Cz0tuDiY8C3ctxq1tqvaCgkFb8cCA/edit?usp=sharing"",""มหาสารคาม!J509"")"),0)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IFERROR(__xludf.DUMMYFUNCTION("IMPORTRANGE(""https://docs.google.com/spreadsheets/d/1XL5vhW3sbDhbH9Cz0tuDiY8C3ctxq1tqvaCgkFb8cCA/edit?usp=sharing"",""มหาสารคาม!I510"")"),0)</f>
        <v>0</v>
      </c>
      <c r="J615" s="198">
        <f ca="1">IFERROR(__xludf.DUMMYFUNCTION("IMPORTRANGE(""https://docs.google.com/spreadsheets/d/1XL5vhW3sbDhbH9Cz0tuDiY8C3ctxq1tqvaCgkFb8cCA/edit?usp=sharing"",""มหาสารคาม!J510"")"),0)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IFERROR(__xludf.DUMMYFUNCTION("IMPORTRANGE(""https://docs.google.com/spreadsheets/d/1XL5vhW3sbDhbH9Cz0tuDiY8C3ctxq1tqvaCgkFb8cCA/edit?usp=sharing"",""มหาสารคาม!I511"")"),0)</f>
        <v>0</v>
      </c>
      <c r="J616" s="198">
        <f ca="1">IFERROR(__xludf.DUMMYFUNCTION("IMPORTRANGE(""https://docs.google.com/spreadsheets/d/1XL5vhW3sbDhbH9Cz0tuDiY8C3ctxq1tqvaCgkFb8cCA/edit?usp=sharing"",""มหาสารคาม!J511"")"),0)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IFERROR(__xludf.DUMMYFUNCTION("IMPORTRANGE(""https://docs.google.com/spreadsheets/d/1XL5vhW3sbDhbH9Cz0tuDiY8C3ctxq1tqvaCgkFb8cCA/edit?usp=sharing"",""มหาสารคาม!I512"")"),0)</f>
        <v>0</v>
      </c>
      <c r="J617" s="188">
        <f ca="1">IFERROR(__xludf.DUMMYFUNCTION("IMPORTRANGE(""https://docs.google.com/spreadsheets/d/1XL5vhW3sbDhbH9Cz0tuDiY8C3ctxq1tqvaCgkFb8cCA/edit?usp=sharing"",""มหาสารคาม!J512"")"),0)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IFERROR(__xludf.DUMMYFUNCTION("IMPORTRANGE(""https://docs.google.com/spreadsheets/d/1XL5vhW3sbDhbH9Cz0tuDiY8C3ctxq1tqvaCgkFb8cCA/edit?usp=sharing"",""มหาสารคาม!I513"")"),0)</f>
        <v>0</v>
      </c>
      <c r="J618" s="189">
        <f ca="1">IFERROR(__xludf.DUMMYFUNCTION("IMPORTRANGE(""https://docs.google.com/spreadsheets/d/1XL5vhW3sbDhbH9Cz0tuDiY8C3ctxq1tqvaCgkFb8cCA/edit?usp=sharing"",""มหาสารคาม!J513"")"),0)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IFERROR(__xludf.DUMMYFUNCTION("IMPORTRANGE(""https://docs.google.com/spreadsheets/d/1XL5vhW3sbDhbH9Cz0tuDiY8C3ctxq1tqvaCgkFb8cCA/edit?usp=sharing"",""มหาสารคาม!I514"")"),0)</f>
        <v>0</v>
      </c>
      <c r="J619" s="189">
        <f ca="1">IFERROR(__xludf.DUMMYFUNCTION("IMPORTRANGE(""https://docs.google.com/spreadsheets/d/1XL5vhW3sbDhbH9Cz0tuDiY8C3ctxq1tqvaCgkFb8cCA/edit?usp=sharing"",""มหาสารคาม!J514"")"),0)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IFERROR(__xludf.DUMMYFUNCTION("IMPORTRANGE(""https://docs.google.com/spreadsheets/d/1XL5vhW3sbDhbH9Cz0tuDiY8C3ctxq1tqvaCgkFb8cCA/edit?usp=sharing"",""มหาสารคาม!I515"")"),0)</f>
        <v>0</v>
      </c>
      <c r="J620" s="203">
        <f ca="1">IFERROR(__xludf.DUMMYFUNCTION("IMPORTRANGE(""https://docs.google.com/spreadsheets/d/1XL5vhW3sbDhbH9Cz0tuDiY8C3ctxq1tqvaCgkFb8cCA/edit?usp=sharing"",""มหาสารคาม!J515"")"),0)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IFERROR(__xludf.DUMMYFUNCTION("IMPORTRANGE(""https://docs.google.com/spreadsheets/d/1XL5vhW3sbDhbH9Cz0tuDiY8C3ctxq1tqvaCgkFb8cCA/edit?usp=sharing"",""มหาสารคาม!I516"")"),0)</f>
        <v>0</v>
      </c>
      <c r="J621" s="203">
        <f ca="1">IFERROR(__xludf.DUMMYFUNCTION("IMPORTRANGE(""https://docs.google.com/spreadsheets/d/1XL5vhW3sbDhbH9Cz0tuDiY8C3ctxq1tqvaCgkFb8cCA/edit?usp=sharing"",""มหาสารคาม!J516"")"),0)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IFERROR(__xludf.DUMMYFUNCTION("IMPORTRANGE(""https://docs.google.com/spreadsheets/d/1XL5vhW3sbDhbH9Cz0tuDiY8C3ctxq1tqvaCgkFb8cCA/edit?usp=sharing"",""มหาสารคาม!I517"")"),0)</f>
        <v>0</v>
      </c>
      <c r="J622" s="189">
        <f ca="1">IFERROR(__xludf.DUMMYFUNCTION("IMPORTRANGE(""https://docs.google.com/spreadsheets/d/1XL5vhW3sbDhbH9Cz0tuDiY8C3ctxq1tqvaCgkFb8cCA/edit?usp=sharing"",""มหาสารคาม!J517"")"),0)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IFERROR(__xludf.DUMMYFUNCTION("IMPORTRANGE(""https://docs.google.com/spreadsheets/d/1XL5vhW3sbDhbH9Cz0tuDiY8C3ctxq1tqvaCgkFb8cCA/edit?usp=sharing"",""มหาสารคาม!I518"")"),0)</f>
        <v>0</v>
      </c>
      <c r="J623" s="189">
        <f ca="1">IFERROR(__xludf.DUMMYFUNCTION("IMPORTRANGE(""https://docs.google.com/spreadsheets/d/1XL5vhW3sbDhbH9Cz0tuDiY8C3ctxq1tqvaCgkFb8cCA/edit?usp=sharing"",""มหาสารคาม!J518"")"),0)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IFERROR(__xludf.DUMMYFUNCTION("IMPORTRANGE(""https://docs.google.com/spreadsheets/d/1XL5vhW3sbDhbH9Cz0tuDiY8C3ctxq1tqvaCgkFb8cCA/edit?usp=sharing"",""มหาสารคาม!I519"")"),0)</f>
        <v>0</v>
      </c>
      <c r="J624" s="188">
        <f ca="1">IFERROR(__xludf.DUMMYFUNCTION("IMPORTRANGE(""https://docs.google.com/spreadsheets/d/1XL5vhW3sbDhbH9Cz0tuDiY8C3ctxq1tqvaCgkFb8cCA/edit?usp=sharing"",""มหาสารคาม!J519"")"),0)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IFERROR(__xludf.DUMMYFUNCTION("IMPORTRANGE(""https://docs.google.com/spreadsheets/d/1XL5vhW3sbDhbH9Cz0tuDiY8C3ctxq1tqvaCgkFb8cCA/edit?usp=sharing"",""มหาสารคาม!I520"")"),0)</f>
        <v>0</v>
      </c>
      <c r="J625" s="189">
        <f ca="1">IFERROR(__xludf.DUMMYFUNCTION("IMPORTRANGE(""https://docs.google.com/spreadsheets/d/1XL5vhW3sbDhbH9Cz0tuDiY8C3ctxq1tqvaCgkFb8cCA/edit?usp=sharing"",""มหาสารคาม!J520"")"),0)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IFERROR(__xludf.DUMMYFUNCTION("IMPORTRANGE(""https://docs.google.com/spreadsheets/d/1XL5vhW3sbDhbH9Cz0tuDiY8C3ctxq1tqvaCgkFb8cCA/edit?usp=sharing"",""มหาสารคาม!I521"")"),0)</f>
        <v>0</v>
      </c>
      <c r="J626" s="189">
        <f ca="1">IFERROR(__xludf.DUMMYFUNCTION("IMPORTRANGE(""https://docs.google.com/spreadsheets/d/1XL5vhW3sbDhbH9Cz0tuDiY8C3ctxq1tqvaCgkFb8cCA/edit?usp=sharing"",""มหาสารคาม!J521"")"),0)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IFERROR(__xludf.DUMMYFUNCTION("IMPORTRANGE(""https://docs.google.com/spreadsheets/d/1XL5vhW3sbDhbH9Cz0tuDiY8C3ctxq1tqvaCgkFb8cCA/edit?usp=sharing"",""มหาสารคาม!I523"")"),14885284.57)</f>
        <v>14885284.57</v>
      </c>
      <c r="J628" s="341">
        <f ca="1">IFERROR(__xludf.DUMMYFUNCTION("IMPORTRANGE(""https://docs.google.com/spreadsheets/d/1XL5vhW3sbDhbH9Cz0tuDiY8C3ctxq1tqvaCgkFb8cCA/edit?usp=sharing"",""มหาสารคาม!J523"")"),5291470.78)</f>
        <v>5291470.78</v>
      </c>
      <c r="K628" s="342">
        <f t="shared" ref="K628:K635" ca="1" si="129">IF(I628&gt;0,J628*100/I628,0)</f>
        <v>35.548334700060089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IFERROR(__xludf.DUMMYFUNCTION("IMPORTRANGE(""https://docs.google.com/spreadsheets/d/1XL5vhW3sbDhbH9Cz0tuDiY8C3ctxq1tqvaCgkFb8cCA/edit?usp=sharing"",""มหาสารคาม!I524"")"),1487)</f>
        <v>1487</v>
      </c>
      <c r="J629" s="341">
        <f ca="1">IFERROR(__xludf.DUMMYFUNCTION("IMPORTRANGE(""https://docs.google.com/spreadsheets/d/1XL5vhW3sbDhbH9Cz0tuDiY8C3ctxq1tqvaCgkFb8cCA/edit?usp=sharing"",""มหาสารคาม!J524"")"),503)</f>
        <v>503</v>
      </c>
      <c r="K629" s="342">
        <f t="shared" ca="1" si="129"/>
        <v>33.826496301277743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IFERROR(__xludf.DUMMYFUNCTION("IMPORTRANGE(""https://docs.google.com/spreadsheets/d/1XL5vhW3sbDhbH9Cz0tuDiY8C3ctxq1tqvaCgkFb8cCA/edit?usp=sharing"",""มหาสารคาม!I525"")"),6639216.94)</f>
        <v>6639216.9400000004</v>
      </c>
      <c r="J630" s="341">
        <f ca="1">IFERROR(__xludf.DUMMYFUNCTION("IMPORTRANGE(""https://docs.google.com/spreadsheets/d/1XL5vhW3sbDhbH9Cz0tuDiY8C3ctxq1tqvaCgkFb8cCA/edit?usp=sharing"",""มหาสารคาม!J525"")"),1180807.75)</f>
        <v>1180807.75</v>
      </c>
      <c r="K630" s="342">
        <f t="shared" ca="1" si="129"/>
        <v>17.785346685779484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IFERROR(__xludf.DUMMYFUNCTION("IMPORTRANGE(""https://docs.google.com/spreadsheets/d/1XL5vhW3sbDhbH9Cz0tuDiY8C3ctxq1tqvaCgkFb8cCA/edit?usp=sharing"",""มหาสารคาม!I526"")"),300)</f>
        <v>300</v>
      </c>
      <c r="J631" s="341">
        <f ca="1">IFERROR(__xludf.DUMMYFUNCTION("IMPORTRANGE(""https://docs.google.com/spreadsheets/d/1XL5vhW3sbDhbH9Cz0tuDiY8C3ctxq1tqvaCgkFb8cCA/edit?usp=sharing"",""มหาสารคาม!J526"")"),111)</f>
        <v>111</v>
      </c>
      <c r="K631" s="342">
        <f t="shared" ca="1" si="129"/>
        <v>37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IFERROR(__xludf.DUMMYFUNCTION("IMPORTRANGE(""https://docs.google.com/spreadsheets/d/1XL5vhW3sbDhbH9Cz0tuDiY8C3ctxq1tqvaCgkFb8cCA/edit?usp=sharing"",""มหาสารคาม!I527"")"),0)</f>
        <v>0</v>
      </c>
      <c r="J632" s="341">
        <f ca="1">IFERROR(__xludf.DUMMYFUNCTION("IMPORTRANGE(""https://docs.google.com/spreadsheets/d/1XL5vhW3sbDhbH9Cz0tuDiY8C3ctxq1tqvaCgkFb8cCA/edit?usp=sharing"",""มหาสารคาม!J527"")"),0)</f>
        <v>0</v>
      </c>
      <c r="K632" s="342">
        <f t="shared" ca="1" si="129"/>
        <v>0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IFERROR(__xludf.DUMMYFUNCTION("IMPORTRANGE(""https://docs.google.com/spreadsheets/d/1XL5vhW3sbDhbH9Cz0tuDiY8C3ctxq1tqvaCgkFb8cCA/edit?usp=sharing"",""มหาสารคาม!I528"")"),0)</f>
        <v>0</v>
      </c>
      <c r="J633" s="341">
        <f ca="1">IFERROR(__xludf.DUMMYFUNCTION("IMPORTRANGE(""https://docs.google.com/spreadsheets/d/1XL5vhW3sbDhbH9Cz0tuDiY8C3ctxq1tqvaCgkFb8cCA/edit?usp=sharing"",""มหาสารคาม!J528"")"),0)</f>
        <v>0</v>
      </c>
      <c r="K633" s="342">
        <f t="shared" ca="1" si="129"/>
        <v>0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IFERROR(__xludf.DUMMYFUNCTION("IMPORTRANGE(""https://docs.google.com/spreadsheets/d/1XL5vhW3sbDhbH9Cz0tuDiY8C3ctxq1tqvaCgkFb8cCA/edit?usp=sharing"",""มหาสารคาม!I529"")"),20000000)</f>
        <v>20000000</v>
      </c>
      <c r="J634" s="341">
        <f ca="1">IFERROR(__xludf.DUMMYFUNCTION("IMPORTRANGE(""https://docs.google.com/spreadsheets/d/1XL5vhW3sbDhbH9Cz0tuDiY8C3ctxq1tqvaCgkFb8cCA/edit?usp=sharing"",""มหาสารคาม!J529"")"),6400000)</f>
        <v>6400000</v>
      </c>
      <c r="K634" s="342">
        <f t="shared" ca="1" si="129"/>
        <v>32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IFERROR(__xludf.DUMMYFUNCTION("IMPORTRANGE(""https://docs.google.com/spreadsheets/d/1XL5vhW3sbDhbH9Cz0tuDiY8C3ctxq1tqvaCgkFb8cCA/edit?usp=sharing"",""มหาสารคาม!I530"")"),400)</f>
        <v>400</v>
      </c>
      <c r="J635" s="504">
        <f ca="1">IFERROR(__xludf.DUMMYFUNCTION("IMPORTRANGE(""https://docs.google.com/spreadsheets/d/1XL5vhW3sbDhbH9Cz0tuDiY8C3ctxq1tqvaCgkFb8cCA/edit?usp=sharing"",""มหาสารคาม!J530"")"),128)</f>
        <v>128</v>
      </c>
      <c r="K635" s="486">
        <f t="shared" ca="1" si="129"/>
        <v>32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49" t="s">
        <v>237</v>
      </c>
      <c r="F636" s="549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21</vt:i4>
      </vt:variant>
      <vt:variant>
        <vt:lpstr>ช่วงที่มีชื่อ</vt:lpstr>
      </vt:variant>
      <vt:variant>
        <vt:i4>21</vt:i4>
      </vt:variant>
    </vt:vector>
  </HeadingPairs>
  <TitlesOfParts>
    <vt:vector size="42" baseType="lpstr">
      <vt:lpstr>รวมตะวันออกเฉียงเหนือ</vt:lpstr>
      <vt:lpstr>กาฬสินธุ์</vt:lpstr>
      <vt:lpstr>ขอนแก่น</vt:lpstr>
      <vt:lpstr>ชัยภูมิ</vt:lpstr>
      <vt:lpstr>นครพนม</vt:lpstr>
      <vt:lpstr>นครราชสีมา</vt:lpstr>
      <vt:lpstr>บึงกาฬ</vt:lpstr>
      <vt:lpstr>บุรีรัมย์</vt:lpstr>
      <vt:lpstr>มหาสารคาม</vt:lpstr>
      <vt:lpstr>มุกดาหาร</vt:lpstr>
      <vt:lpstr>ยโสธร</vt:lpstr>
      <vt:lpstr>ร้อยเอ็ด</vt:lpstr>
      <vt:lpstr>เลย</vt:lpstr>
      <vt:lpstr>ศรีสะเกษ</vt:lpstr>
      <vt:lpstr>สกลนคร</vt:lpstr>
      <vt:lpstr>สุรินทร์</vt:lpstr>
      <vt:lpstr>หนองคาย</vt:lpstr>
      <vt:lpstr>หนองบัวลำภู</vt:lpstr>
      <vt:lpstr>อำนาจเจริญ</vt:lpstr>
      <vt:lpstr>อุดรธานี</vt:lpstr>
      <vt:lpstr>อุบลราชธานี</vt:lpstr>
      <vt:lpstr>เลย!Print_Titles</vt:lpstr>
      <vt:lpstr>กาฬสินธุ์!Print_Titles</vt:lpstr>
      <vt:lpstr>ขอนแก่น!Print_Titles</vt:lpstr>
      <vt:lpstr>ชัยภูมิ!Print_Titles</vt:lpstr>
      <vt:lpstr>นครพนม!Print_Titles</vt:lpstr>
      <vt:lpstr>นครราชสีมา!Print_Titles</vt:lpstr>
      <vt:lpstr>บึงกาฬ!Print_Titles</vt:lpstr>
      <vt:lpstr>บุรีรัมย์!Print_Titles</vt:lpstr>
      <vt:lpstr>มหาสารคาม!Print_Titles</vt:lpstr>
      <vt:lpstr>มุกดาหาร!Print_Titles</vt:lpstr>
      <vt:lpstr>ยโสธร!Print_Titles</vt:lpstr>
      <vt:lpstr>รวมตะวันออกเฉียงเหนือ!Print_Titles</vt:lpstr>
      <vt:lpstr>ร้อยเอ็ด!Print_Titles</vt:lpstr>
      <vt:lpstr>ศรีสะเกษ!Print_Titles</vt:lpstr>
      <vt:lpstr>สกลนคร!Print_Titles</vt:lpstr>
      <vt:lpstr>สุรินทร์!Print_Titles</vt:lpstr>
      <vt:lpstr>หนองคาย!Print_Titles</vt:lpstr>
      <vt:lpstr>หนองบัวลำภู!Print_Titles</vt:lpstr>
      <vt:lpstr>อำนาจเจริญ!Print_Titles</vt:lpstr>
      <vt:lpstr>อุดรธานี!Print_Titles</vt:lpstr>
      <vt:lpstr>อุบลราชธานี!Print_Titles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BarbiezZesT Phanumphai</cp:lastModifiedBy>
  <cp:lastPrinted>2022-04-04T14:14:32Z</cp:lastPrinted>
  <dcterms:modified xsi:type="dcterms:W3CDTF">2022-04-04T14:18:08Z</dcterms:modified>
</cp:coreProperties>
</file>